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1СП" sheetId="1" r:id="rId1"/>
  </sheets>
  <definedNames>
    <definedName name="_xlnm.Print_Area" localSheetId="0">'1СП'!$A$1:$E$455</definedName>
  </definedNames>
  <calcPr fullCalcOnLoad="1"/>
</workbook>
</file>

<file path=xl/comments1.xml><?xml version="1.0" encoding="utf-8"?>
<comments xmlns="http://schemas.openxmlformats.org/spreadsheetml/2006/main">
  <authors>
    <author>Kovalenko</author>
  </authors>
  <commentList>
    <comment ref="C454" authorId="0">
      <text>
        <r>
          <rPr>
            <sz val="9"/>
            <rFont val="Tahoma"/>
            <family val="2"/>
          </rPr>
          <t xml:space="preserve">Фамилия, И.О. председателя
</t>
        </r>
      </text>
    </comment>
  </commentList>
</comments>
</file>

<file path=xl/sharedStrings.xml><?xml version="1.0" encoding="utf-8"?>
<sst xmlns="http://schemas.openxmlformats.org/spreadsheetml/2006/main" count="980" uniqueCount="655">
  <si>
    <t>I.</t>
  </si>
  <si>
    <t>1.1.</t>
  </si>
  <si>
    <t>1.1.1.</t>
  </si>
  <si>
    <t>1.1.2.</t>
  </si>
  <si>
    <t>1.2.</t>
  </si>
  <si>
    <t xml:space="preserve">1.2.5. </t>
  </si>
  <si>
    <t xml:space="preserve">1.2.6. </t>
  </si>
  <si>
    <t xml:space="preserve">1.2.7. </t>
  </si>
  <si>
    <t xml:space="preserve">1.2.8. </t>
  </si>
  <si>
    <t xml:space="preserve">II. </t>
  </si>
  <si>
    <t>2.1.1. </t>
  </si>
  <si>
    <t>2.1.2. </t>
  </si>
  <si>
    <t xml:space="preserve">2.1.3. 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</si>
  <si>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</si>
  <si>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</si>
  <si>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</si>
  <si>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</si>
  <si>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</si>
  <si>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 xml:space="preserve">2.1.8. </t>
  </si>
  <si>
    <t xml:space="preserve">2.1.9. </t>
  </si>
  <si>
    <t>2.2.</t>
  </si>
  <si>
    <t>из них:</t>
  </si>
  <si>
    <t xml:space="preserve">2.2.1. </t>
  </si>
  <si>
    <t xml:space="preserve">III.   </t>
  </si>
  <si>
    <t>3.1.</t>
  </si>
  <si>
    <t xml:space="preserve">IV. </t>
  </si>
  <si>
    <t>4.1.</t>
  </si>
  <si>
    <t xml:space="preserve">V. </t>
  </si>
  <si>
    <t>председатель</t>
  </si>
  <si>
    <t>заместитель председателя</t>
  </si>
  <si>
    <t>секретарь аппарата организации Профсоюза</t>
  </si>
  <si>
    <t>5.2.1.</t>
  </si>
  <si>
    <t>5.2.2.</t>
  </si>
  <si>
    <t>5.2.3.</t>
  </si>
  <si>
    <t>5.2.4.</t>
  </si>
  <si>
    <t>5.2.5.</t>
  </si>
  <si>
    <t>другие специалисты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</si>
  <si>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</si>
  <si>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</si>
  <si>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</si>
  <si>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</si>
  <si>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</si>
  <si>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</si>
  <si>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</si>
  <si>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</si>
  <si>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</si>
  <si>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 xml:space="preserve">VI. </t>
  </si>
  <si>
    <t>6.2.1.</t>
  </si>
  <si>
    <t>6.2.2.</t>
  </si>
  <si>
    <t>6.2.3.</t>
  </si>
  <si>
    <t>Председатель</t>
  </si>
  <si>
    <t xml:space="preserve">организации Профсоюза  </t>
  </si>
  <si>
    <t xml:space="preserve">                      </t>
  </si>
  <si>
    <t>Х</t>
  </si>
  <si>
    <t>специалисты правовой службы:</t>
  </si>
  <si>
    <t>в т.ч.:  - педагогических работников</t>
  </si>
  <si>
    <t>1-СП</t>
  </si>
  <si>
    <t>2.2.2.</t>
  </si>
  <si>
    <t>2.2.3.</t>
  </si>
  <si>
    <t xml:space="preserve">неработающие пенсионеры  </t>
  </si>
  <si>
    <t>к 1 февраля</t>
  </si>
  <si>
    <t xml:space="preserve"> РЕГИОНАЛЬНОЙ (МЕЖРЕГИОНАЛЬНОЙ) ОРГАНИЗАЦИИ  ПРОФСОЮЗА</t>
  </si>
  <si>
    <t>Организации дополнительного профессионального образования</t>
  </si>
  <si>
    <t xml:space="preserve">Организации дополнительного профессионального образования </t>
  </si>
  <si>
    <t xml:space="preserve">Научные организации   </t>
  </si>
  <si>
    <t>(всего)</t>
  </si>
  <si>
    <t xml:space="preserve">         ГОДОВОЙ СТАТИСТИЧЕСКИЙ ОТЧЕТ</t>
  </si>
  <si>
    <t>Общее количество созданных первичных профсоюзных организаций</t>
  </si>
  <si>
    <t>ОХВАТ ПРОФСОЮЗНЫМ ЧЛЕНСТВОМ ПО КАТЕГОРИЯМ ЧЛЕНОВ ПРОФСОЮЗА:</t>
  </si>
  <si>
    <t>ОБЩИЙ ОХВАТ ПРОФСОЮЗНЫМ ЧЛЕНСТВОМ:</t>
  </si>
  <si>
    <t>ИСКЛЮЧЕНО ИЗ ПРОФСОЮЗА</t>
  </si>
  <si>
    <t>СПРАВОЧНО:</t>
  </si>
  <si>
    <t>ОБЩЕЕ КОЛИЧЕСТВО ЧЛЕНОВ ПРОФСОЮЗА:</t>
  </si>
  <si>
    <t xml:space="preserve"> ОРГАНИЗАЦИЙ, НАХОДЯЩИХСЯ  НА ТЕРРИТОРИИ СУБЪЕКТА РФ     </t>
  </si>
  <si>
    <t>1.1.3.</t>
  </si>
  <si>
    <t xml:space="preserve">1.1.4. </t>
  </si>
  <si>
    <t>1.1.5.</t>
  </si>
  <si>
    <t xml:space="preserve">1.1.6. </t>
  </si>
  <si>
    <t>2.1.4.1.</t>
  </si>
  <si>
    <t>2.1.10.</t>
  </si>
  <si>
    <t>2.4.5.</t>
  </si>
  <si>
    <t>2.4.6.</t>
  </si>
  <si>
    <t>2.4.7.</t>
  </si>
  <si>
    <t>2.4.8.</t>
  </si>
  <si>
    <t>в) организаций обучающихся</t>
  </si>
  <si>
    <t xml:space="preserve">б) организаций работающих  </t>
  </si>
  <si>
    <t>2.4.3.</t>
  </si>
  <si>
    <t>2.4.4.</t>
  </si>
  <si>
    <t>(ФИО)</t>
  </si>
  <si>
    <t xml:space="preserve">а) объединенных  </t>
  </si>
  <si>
    <t xml:space="preserve">Научные организации  </t>
  </si>
  <si>
    <t>1.1.7.</t>
  </si>
  <si>
    <t>2.4.1.</t>
  </si>
  <si>
    <t>2.4.2.</t>
  </si>
  <si>
    <t>2.4.9.</t>
  </si>
  <si>
    <t>2.4.10.</t>
  </si>
  <si>
    <t>2.4.11.</t>
  </si>
  <si>
    <t xml:space="preserve">1.2.1.  </t>
  </si>
  <si>
    <t xml:space="preserve">1.2.2.  </t>
  </si>
  <si>
    <t xml:space="preserve">1.2.3. </t>
  </si>
  <si>
    <t>1.2.3.1.</t>
  </si>
  <si>
    <t xml:space="preserve">1.2.4. </t>
  </si>
  <si>
    <t xml:space="preserve">в т.ч.: </t>
  </si>
  <si>
    <r>
      <t xml:space="preserve">работающие </t>
    </r>
    <r>
      <rPr>
        <sz val="11"/>
        <rFont val="Times New Roman"/>
        <family val="1"/>
      </rPr>
      <t>(в %)</t>
    </r>
  </si>
  <si>
    <t>4.1.1.</t>
  </si>
  <si>
    <t>4.1.2.</t>
  </si>
  <si>
    <t>4.1.3.</t>
  </si>
  <si>
    <t>5.1.</t>
  </si>
  <si>
    <t>5.2.6.</t>
  </si>
  <si>
    <t>5.2.6.1.</t>
  </si>
  <si>
    <t>5.2.6.2.</t>
  </si>
  <si>
    <t>5.2.6.3.</t>
  </si>
  <si>
    <t>5.2.7.</t>
  </si>
  <si>
    <t>5.2.8.</t>
  </si>
  <si>
    <t>5.2.9.</t>
  </si>
  <si>
    <t>5.2.10.</t>
  </si>
  <si>
    <t>5.2.11.</t>
  </si>
  <si>
    <t>5.2.12.</t>
  </si>
  <si>
    <t>5.2.13.</t>
  </si>
  <si>
    <t>5.4.5.</t>
  </si>
  <si>
    <t>5.5.1.</t>
  </si>
  <si>
    <t>2.3.1.</t>
  </si>
  <si>
    <t>всего:</t>
  </si>
  <si>
    <t>в них:</t>
  </si>
  <si>
    <t>- педагогических работников</t>
  </si>
  <si>
    <t>- работающих (без совместителей)</t>
  </si>
  <si>
    <t>- научно-педагогических работников (ППС и научных работников)</t>
  </si>
  <si>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</si>
  <si>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</t>
    </r>
  </si>
  <si>
    <t>- молодежь до 35 лет из пед. раб. и научно-пед. работников (ППС и научных работников)</t>
  </si>
  <si>
    <t>- педагогические работники</t>
  </si>
  <si>
    <t>- научно-педагогические работники (ППС и научные работники)</t>
  </si>
  <si>
    <r>
      <t>педагогические работники</t>
    </r>
    <r>
      <rPr>
        <sz val="11"/>
        <rFont val="Times New Roman"/>
        <family val="1"/>
      </rPr>
      <t xml:space="preserve"> (в %)</t>
    </r>
  </si>
  <si>
    <t xml:space="preserve">(всего) </t>
  </si>
  <si>
    <t xml:space="preserve"> (всего) </t>
  </si>
  <si>
    <t>1.3.</t>
  </si>
  <si>
    <t>1.4.</t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</si>
  <si>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</si>
  <si>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</si>
  <si>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</si>
  <si>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</si>
  <si>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0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</si>
  <si>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</si>
  <si>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r>
      <t xml:space="preserve">работающие в организациях дополнит. профессионального образования  </t>
    </r>
    <r>
      <rPr>
        <sz val="11"/>
        <rFont val="Times New Roman"/>
        <family val="1"/>
      </rPr>
      <t>(в %)</t>
    </r>
  </si>
  <si>
    <t>другие работники (тех.секретарь, водитель и.т.д.)</t>
  </si>
  <si>
    <t xml:space="preserve">Обособленные структурные подразделения (филиалы) образовательных </t>
  </si>
  <si>
    <t xml:space="preserve">              в т.ч.: - педагогических работников</t>
  </si>
  <si>
    <t>ПРИНЯТО В ПРОФСОЮЗ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</si>
  <si>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</si>
  <si>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 xml:space="preserve">            - научно-педагогических работников (ППС и научных работников)</t>
  </si>
  <si>
    <t xml:space="preserve">  в т.ч.: - научно-педагогических работников (ППС и научных работников)</t>
  </si>
  <si>
    <r>
      <t xml:space="preserve">из них: </t>
    </r>
  </si>
  <si>
    <t xml:space="preserve">в них: </t>
  </si>
  <si>
    <t>2.4.10.1.</t>
  </si>
  <si>
    <t>2.1.11.</t>
  </si>
  <si>
    <t>Количество первичных профсоюзных организаций с правом территориальной</t>
  </si>
  <si>
    <t xml:space="preserve">работающие   </t>
  </si>
  <si>
    <t>1.1.3.1.</t>
  </si>
  <si>
    <t>Количество первичных профсоюзных организаций - юридических лиц</t>
  </si>
  <si>
    <t>2.1.12.</t>
  </si>
  <si>
    <t>5.6.1.</t>
  </si>
  <si>
    <t>5.6.2.</t>
  </si>
  <si>
    <t>5.6.3.</t>
  </si>
  <si>
    <t>5.6.4.</t>
  </si>
  <si>
    <t>5.6.5.</t>
  </si>
  <si>
    <t>5.7.</t>
  </si>
  <si>
    <t>5.7.1.</t>
  </si>
  <si>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>обучающихся (студентов)</t>
    </r>
  </si>
  <si>
    <t>- обучающихся (студентов)</t>
  </si>
  <si>
    <t>в) организаций обучающихся (студентов)</t>
  </si>
  <si>
    <t xml:space="preserve">обучающиеся (студенты) </t>
  </si>
  <si>
    <r>
      <t>обучающиеся (студенты)</t>
    </r>
    <r>
      <rPr>
        <sz val="11"/>
        <rFont val="Times New Roman"/>
        <family val="1"/>
      </rPr>
      <t xml:space="preserve"> (в %)</t>
    </r>
  </si>
  <si>
    <t>КОЛИЧЕСТВО ОРГАНИЗАЦИЙ ОБРАЗОВАНИЯ, В КОТОРЫХ ИМЕЮТСЯ ЧЛЕНЫ</t>
  </si>
  <si>
    <t>1.2.1.1.</t>
  </si>
  <si>
    <t>2.1.2.1.</t>
  </si>
  <si>
    <t>2.1.13.</t>
  </si>
  <si>
    <t xml:space="preserve"> в образовательных организациях высшего образования (вузах) и филиалах</t>
  </si>
  <si>
    <t xml:space="preserve"> в профессиональных образовательных организациях (СПО)</t>
  </si>
  <si>
    <t>2.1.13.1.</t>
  </si>
  <si>
    <t>-</t>
  </si>
  <si>
    <t>2.5.1.</t>
  </si>
  <si>
    <t>2.5.2.</t>
  </si>
  <si>
    <t>из общего числа:</t>
  </si>
  <si>
    <t>4.1.1.1.</t>
  </si>
  <si>
    <t>4.1.3.1.</t>
  </si>
  <si>
    <t>2.1.13.2.</t>
  </si>
  <si>
    <t>- в образовательных организациях высшего образования (вузах) и филиалах</t>
  </si>
  <si>
    <t>- в профессиональных образовательных организациях (СПО)</t>
  </si>
  <si>
    <t>2.1.13.3.</t>
  </si>
  <si>
    <r>
      <t>Дошкольные образовательные организации</t>
    </r>
  </si>
  <si>
    <t>СВЕДЕНИЯ ОБ ОРГАНИЗАЦИЯХ</t>
  </si>
  <si>
    <t>ВЫБЫЛО ИЗ ПРОФСОЮЗА ПО ЛИЧНОМУ ЗАЯВЛЕНИЮ О ВЫХОДЕ</t>
  </si>
  <si>
    <t>ШТАТНЫЕ РАБОТНИКИ ОРГАНИЗАЦИЙ ПРОФСОЮЗА</t>
  </si>
  <si>
    <t>1.1.8.</t>
  </si>
  <si>
    <t xml:space="preserve">Другие организации  </t>
  </si>
  <si>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(без совместителей)</t>
    </r>
  </si>
  <si>
    <t>их них:</t>
  </si>
  <si>
    <t>2.6.1.</t>
  </si>
  <si>
    <t>2.6.2.</t>
  </si>
  <si>
    <t>2.7.1.</t>
  </si>
  <si>
    <t>2.7.2.</t>
  </si>
  <si>
    <t>5.7.2.</t>
  </si>
  <si>
    <t>5.7.3.</t>
  </si>
  <si>
    <t>5.8.1.</t>
  </si>
  <si>
    <t>5.8.2.</t>
  </si>
  <si>
    <t>5.8.3.</t>
  </si>
  <si>
    <t xml:space="preserve">  в т.ч.: - педагогических работников</t>
  </si>
  <si>
    <t xml:space="preserve">  в т.ч.:  - педагогических работников</t>
  </si>
  <si>
    <t xml:space="preserve">  в т.ч.:  - научно-педагогических работников (ППС и научных работников)</t>
  </si>
  <si>
    <t xml:space="preserve">             - научно-педагогических работников (ППС и научных работников)</t>
  </si>
  <si>
    <t>2.6.3.</t>
  </si>
  <si>
    <t>2.7.3.</t>
  </si>
  <si>
    <t xml:space="preserve">ОБЩЕЕ КОЛ-ВО ГОСУДАРСТВЕННЫХ И МУНИЦИП. ОБРАЗОВАТЕЛЬНЫХ И ИНЫХ </t>
  </si>
  <si>
    <r>
      <rPr>
        <i/>
        <sz val="11"/>
        <rFont val="Times New Roman"/>
        <family val="1"/>
      </rPr>
      <t xml:space="preserve">в т.ч.: </t>
    </r>
    <r>
      <rPr>
        <b/>
        <i/>
        <sz val="11"/>
        <rFont val="Times New Roman"/>
        <family val="1"/>
      </rPr>
      <t xml:space="preserve"> - организации (учреждения) педагогического образования</t>
    </r>
  </si>
  <si>
    <r>
      <rPr>
        <i/>
        <sz val="11"/>
        <rFont val="Times New Roman"/>
        <family val="1"/>
      </rPr>
      <t>в т.ч.:</t>
    </r>
    <r>
      <rPr>
        <b/>
        <i/>
        <sz val="11"/>
        <rFont val="Times New Roman"/>
        <family val="1"/>
      </rPr>
      <t xml:space="preserve">  - организации (учреждения) педагогического образования</t>
    </r>
  </si>
  <si>
    <r>
      <t>работающие в общеобразовательных организациях</t>
    </r>
    <r>
      <rPr>
        <sz val="11"/>
        <rFont val="Times New Roman"/>
        <family val="1"/>
      </rPr>
      <t xml:space="preserve"> (в %)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</si>
  <si>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</si>
  <si>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t>5.2.1.1.</t>
  </si>
  <si>
    <t>5.3.1.1.</t>
  </si>
  <si>
    <t>5.4.1.1.</t>
  </si>
  <si>
    <t>5.6.1.1.</t>
  </si>
  <si>
    <t>5.7.1.1.</t>
  </si>
  <si>
    <t>5.8.1.1.</t>
  </si>
  <si>
    <t>Организации дополнительного образования детей</t>
  </si>
  <si>
    <t xml:space="preserve"> - специалист по правовым вопросам и др.</t>
  </si>
  <si>
    <t>Представляется в Центральный Совет Профсоюза</t>
  </si>
  <si>
    <t>(наименование региональной (межрегиональной) организации Профсоюза)</t>
  </si>
  <si>
    <t>Обособленные структурные подразделения (филиалы) образовательных организаций</t>
  </si>
  <si>
    <r>
      <t>ОБЩЕРОССИЙСКОГО ПРОФСОЮЗА ОБРАЗОВАНИЯ</t>
    </r>
    <r>
      <rPr>
        <b/>
        <sz val="13"/>
        <rFont val="Times New Roman"/>
        <family val="1"/>
      </rPr>
      <t xml:space="preserve">   </t>
    </r>
  </si>
  <si>
    <r>
      <t xml:space="preserve">Общеобразовательные организации </t>
    </r>
    <r>
      <rPr>
        <sz val="12"/>
        <rFont val="Times New Roman"/>
        <family val="1"/>
      </rPr>
      <t>(образов. комплексы, школы, лицеи, гимназии и т.д.)</t>
    </r>
    <r>
      <rPr>
        <b/>
        <sz val="12"/>
        <rFont val="Times New Roman"/>
        <family val="1"/>
      </rPr>
      <t xml:space="preserve"> </t>
    </r>
  </si>
  <si>
    <r>
      <t>Дошкольные образовательные организации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</t>
    </r>
  </si>
  <si>
    <r>
      <t>Образовательные организации высшего образования</t>
    </r>
    <r>
      <rPr>
        <sz val="12"/>
        <rFont val="Times New Roman"/>
        <family val="1"/>
      </rPr>
      <t xml:space="preserve"> (вузы) </t>
    </r>
  </si>
  <si>
    <r>
      <t xml:space="preserve">высшего образования </t>
    </r>
    <r>
      <rPr>
        <sz val="12"/>
        <rFont val="Times New Roman"/>
        <family val="1"/>
      </rPr>
      <t>(вузов)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(в т. ч. других субъектов РФ)</t>
    </r>
  </si>
  <si>
    <r>
      <t xml:space="preserve">Профессиональные образовательные организации </t>
    </r>
    <r>
      <rPr>
        <sz val="12"/>
        <rFont val="Times New Roman"/>
        <family val="1"/>
      </rPr>
      <t>(СПО)</t>
    </r>
  </si>
  <si>
    <r>
      <t xml:space="preserve">Общеобразовательные организации  </t>
    </r>
    <r>
      <rPr>
        <sz val="12"/>
        <rFont val="Times New Roman"/>
        <family val="1"/>
      </rPr>
      <t xml:space="preserve">(образов. комплексы, школы, лицеи, гимназии и т.д.) </t>
    </r>
  </si>
  <si>
    <r>
      <t xml:space="preserve">организаций высшего образования </t>
    </r>
    <r>
      <rPr>
        <sz val="12"/>
        <rFont val="Times New Roman"/>
        <family val="1"/>
      </rPr>
      <t>(вузов)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(в т. ч. других субъектов РФ)</t>
    </r>
  </si>
  <si>
    <t xml:space="preserve"> - членов Профсоюза-работающих </t>
  </si>
  <si>
    <t xml:space="preserve">       </t>
  </si>
  <si>
    <t xml:space="preserve"> - членов Профсоюза-неработающих пенсионеров</t>
  </si>
  <si>
    <t xml:space="preserve">            - членов Профсоюза-неработающих пенсионеров</t>
  </si>
  <si>
    <t xml:space="preserve"> - членов Профсоюза-обучающихся (студентов)</t>
  </si>
  <si>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Профсоюза-работающих  </t>
    </r>
  </si>
  <si>
    <t xml:space="preserve">          - членов Профсоюза-неработающих пенсионеров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</si>
  <si>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Профсоюза-работающих  </t>
    </r>
  </si>
  <si>
    <t xml:space="preserve">             - членов Профсоюза-неработающих пенсионеров</t>
  </si>
  <si>
    <t xml:space="preserve">             - членов Профсоюза-обучающихся (студентов)</t>
  </si>
  <si>
    <t xml:space="preserve">в них:   - членов Профсоюза-работающих  </t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</si>
  <si>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Профсоюза-работающих</t>
    </r>
  </si>
  <si>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Профсоюза-работающих  </t>
    </r>
  </si>
  <si>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Профсоюза-работающих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</si>
  <si>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Профсоюза-работающих</t>
    </r>
    <r>
      <rPr>
        <i/>
        <sz val="11"/>
        <rFont val="Times New Roman"/>
        <family val="1"/>
      </rPr>
      <t xml:space="preserve"> </t>
    </r>
  </si>
  <si>
    <t xml:space="preserve">  (всего) </t>
  </si>
  <si>
    <t xml:space="preserve">- работающих  (без совместителей) </t>
  </si>
  <si>
    <t xml:space="preserve">- работающих в обособленных структурных подразделениях (без совместителей) </t>
  </si>
  <si>
    <t xml:space="preserve">- работающих (без совместителей) </t>
  </si>
  <si>
    <t>в них:   - работающих (без совместителей)</t>
  </si>
  <si>
    <t xml:space="preserve">  в т.ч.: - педагогических работников </t>
  </si>
  <si>
    <t>Количество ППО с численностью менее 50% от общего числа работающих/студентов</t>
  </si>
  <si>
    <t>2.4.9.1.</t>
  </si>
  <si>
    <t xml:space="preserve"> - работающих </t>
  </si>
  <si>
    <t xml:space="preserve"> - обучающихся (студентов)</t>
  </si>
  <si>
    <t xml:space="preserve"> - неработающих пенсионеров </t>
  </si>
  <si>
    <t>ТЕРРИТОРИАЛЬНЫЕ ОРГАНИЗАЦИИ  ПРОФСОЮЗА</t>
  </si>
  <si>
    <t>КОЛИЧЕСТВО ТЕРРИТОРИАЛЬНЫХ ОРГАНИЗАЦИЙ ПРОФСОЮЗА</t>
  </si>
  <si>
    <t>Количество муниципальных образований в субъекте Российской Федерации</t>
  </si>
  <si>
    <t>Профсоюзный актив первичных профсоюзных организаций</t>
  </si>
  <si>
    <t xml:space="preserve"> ответственные за организацию работы по приему в Профсоюз </t>
  </si>
  <si>
    <t xml:space="preserve"> председатели контрольно-ревизионных комиссий </t>
  </si>
  <si>
    <r>
      <t xml:space="preserve"> председатели профсоюзных организаций </t>
    </r>
    <r>
      <rPr>
        <sz val="11"/>
        <rFont val="Times New Roman"/>
        <family val="1"/>
      </rPr>
      <t>структурных подразделений</t>
    </r>
  </si>
  <si>
    <t xml:space="preserve"> профгрупорги</t>
  </si>
  <si>
    <t xml:space="preserve"> другой профсоюзный актив</t>
  </si>
  <si>
    <t>Профсоюзный актив территориальных организаций Профсоюза</t>
  </si>
  <si>
    <t xml:space="preserve"> председатель</t>
  </si>
  <si>
    <t xml:space="preserve"> в т.ч.: - в возрасте до 35 лет (включительно)</t>
  </si>
  <si>
    <t xml:space="preserve"> представители (уполномоченные) Профсоюза</t>
  </si>
  <si>
    <t xml:space="preserve"> председатель контрольно-ревизионной комиссии </t>
  </si>
  <si>
    <t>4.1.1.2.</t>
  </si>
  <si>
    <t>4.1.1.3.</t>
  </si>
  <si>
    <t>4.1.1.4.</t>
  </si>
  <si>
    <t>4.1.1.5.</t>
  </si>
  <si>
    <t>4.1.1.6.</t>
  </si>
  <si>
    <t>4.1.1.7.</t>
  </si>
  <si>
    <t>4.1.1.8.</t>
  </si>
  <si>
    <t>4.1.1.9</t>
  </si>
  <si>
    <t>4.1.1.10.</t>
  </si>
  <si>
    <t>4.1.1.11.</t>
  </si>
  <si>
    <t>председатели</t>
  </si>
  <si>
    <t>4.1.2.1.</t>
  </si>
  <si>
    <t>4.1.2.1.1.</t>
  </si>
  <si>
    <t>4.1.2.2.</t>
  </si>
  <si>
    <t>4.1.2.3.</t>
  </si>
  <si>
    <t>4.1.2.4.</t>
  </si>
  <si>
    <t>4.1.2.5.</t>
  </si>
  <si>
    <t>4.1.2.6.</t>
  </si>
  <si>
    <t>4.1.2.7.</t>
  </si>
  <si>
    <t>4.1.2.8</t>
  </si>
  <si>
    <t>4.1.2.9</t>
  </si>
  <si>
    <t>Профсоюзный актив региональной (межрегиональной) организации Профсоюза</t>
  </si>
  <si>
    <t xml:space="preserve"> председатели </t>
  </si>
  <si>
    <t xml:space="preserve"> заместители председателей</t>
  </si>
  <si>
    <t>4.1.3.1.1.</t>
  </si>
  <si>
    <t>4.1.3.2.</t>
  </si>
  <si>
    <t>4.1.3.3.</t>
  </si>
  <si>
    <t>4.1.3.4.</t>
  </si>
  <si>
    <t>4.1.3.5.</t>
  </si>
  <si>
    <t>4.1.3.6.</t>
  </si>
  <si>
    <t>4.1.3.7.</t>
  </si>
  <si>
    <t>4.1.3.8.</t>
  </si>
  <si>
    <t>4.1.3.9</t>
  </si>
  <si>
    <t xml:space="preserve"> заместители председателя</t>
  </si>
  <si>
    <t xml:space="preserve"> ответственный за организацию работы по приему в Профсоюз </t>
  </si>
  <si>
    <r>
      <t xml:space="preserve"> члены контрольно-ревизионных комиссий (без строки 4.1.2.7.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 xml:space="preserve"> </t>
    </r>
  </si>
  <si>
    <r>
      <t xml:space="preserve"> члены контрольно-ревизионной комиссии (без строки 4.1.3.7.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 xml:space="preserve"> </t>
    </r>
  </si>
  <si>
    <r>
      <t xml:space="preserve">ОБЩЕЕ КОЛИЧЕСТВО ПРОФСОЮЗНОГО АКТИВА </t>
    </r>
    <r>
      <rPr>
        <sz val="10"/>
        <rFont val="Times New Roman"/>
        <family val="1"/>
      </rPr>
      <t>(сумма 4.1.1, 4.1.2 и 4.1.3)</t>
    </r>
  </si>
  <si>
    <t xml:space="preserve"> - заведующий отделом правовой работы</t>
  </si>
  <si>
    <t>заведующий отделом (специалист) по работе с учреждениями проф. образования</t>
  </si>
  <si>
    <t>заведующий отделом (специалист) по экономическим вопросам</t>
  </si>
  <si>
    <t>заведующий отделом (специалист) по социальным вопросам</t>
  </si>
  <si>
    <t>заведующий отделом (специалист) по организационной работе</t>
  </si>
  <si>
    <t>заведующий отделом (специалист) по информационной работе</t>
  </si>
  <si>
    <t>главный бухгалтер</t>
  </si>
  <si>
    <t>другие специалисты финансовой службы</t>
  </si>
  <si>
    <t>5.5.2.</t>
  </si>
  <si>
    <t>5.5.3.</t>
  </si>
  <si>
    <t>5.5.1.1.</t>
  </si>
  <si>
    <t>5.5.4.</t>
  </si>
  <si>
    <t>5.8.4.</t>
  </si>
  <si>
    <t>5.7.4.</t>
  </si>
  <si>
    <r>
      <rPr>
        <b/>
        <u val="single"/>
        <sz val="12"/>
        <rFont val="Times New Roman"/>
        <family val="1"/>
      </rPr>
      <t>5.6.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</si>
  <si>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</si>
  <si>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5.4.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</si>
  <si>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5.3.</t>
    </r>
    <r>
      <rPr>
        <b/>
        <sz val="12"/>
        <rFont val="Times New Roman"/>
        <family val="1"/>
      </rPr>
      <t xml:space="preserve"> </t>
    </r>
  </si>
  <si>
    <r>
      <t>ОБЩЕЕ КОЛИЧЕСТВО ШТАТНЫХ РАБОТНИКОВ</t>
    </r>
    <r>
      <rPr>
        <u val="single"/>
        <sz val="12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</si>
  <si>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5.8.</t>
    </r>
    <r>
      <rPr>
        <b/>
        <sz val="12"/>
        <rFont val="Times New Roman"/>
        <family val="1"/>
      </rPr>
      <t> </t>
    </r>
  </si>
  <si>
    <t xml:space="preserve"> - на уровне первичных профсоюзных организаций</t>
  </si>
  <si>
    <t xml:space="preserve"> - на уровне территориальных организаций Профсоюза</t>
  </si>
  <si>
    <t>6.1.3.</t>
  </si>
  <si>
    <t>6.1.2.</t>
  </si>
  <si>
    <t>6.1.1.</t>
  </si>
  <si>
    <t>6.1.</t>
  </si>
  <si>
    <t xml:space="preserve"> - на уровне региональной (межрегиональной) организации Профсоюза</t>
  </si>
  <si>
    <t>в т. ч.:</t>
  </si>
  <si>
    <t xml:space="preserve"> - председатели первичных профсоюзных организаций  </t>
  </si>
  <si>
    <t xml:space="preserve"> - другие категории профсоюзного актива</t>
  </si>
  <si>
    <t xml:space="preserve"> - председатели территориальных профсоюзных организаций  </t>
  </si>
  <si>
    <t xml:space="preserve"> - заместители председателей первичных профсоюзных организаций </t>
  </si>
  <si>
    <t xml:space="preserve"> - заместители председателей территориальных  профсоюзных организаций </t>
  </si>
  <si>
    <t xml:space="preserve"> - председатели контрольно-ревизионных комиссий первичных профсоюзных организаций</t>
  </si>
  <si>
    <t xml:space="preserve"> - председатели контрольно-ревизионных комиссий территориальных профсоюзных организаций</t>
  </si>
  <si>
    <t>6.2.</t>
  </si>
  <si>
    <t>6.2.2.1.</t>
  </si>
  <si>
    <t>6.2.2.2.</t>
  </si>
  <si>
    <t>6.2.2.3.</t>
  </si>
  <si>
    <t>6.2.2.4.</t>
  </si>
  <si>
    <t>6.2.3.1.</t>
  </si>
  <si>
    <t>6.2.3.2.</t>
  </si>
  <si>
    <t>6.2.3.3.</t>
  </si>
  <si>
    <t>6.2.3.4.</t>
  </si>
  <si>
    <t>6.2.3.5.</t>
  </si>
  <si>
    <t>6.2.3.6.</t>
  </si>
  <si>
    <t>6.2.3.7.</t>
  </si>
  <si>
    <t>4.1.1.1.1.</t>
  </si>
  <si>
    <t>3.1.1.</t>
  </si>
  <si>
    <t>3.1.2.</t>
  </si>
  <si>
    <t>2.7.2.1</t>
  </si>
  <si>
    <t>2.7.2.2</t>
  </si>
  <si>
    <t>2.7.1.1</t>
  </si>
  <si>
    <t>2.7.1.2</t>
  </si>
  <si>
    <t>2.6.2.1</t>
  </si>
  <si>
    <t>2.6.2.2</t>
  </si>
  <si>
    <t>2.6.1.1</t>
  </si>
  <si>
    <t>2.6.1.2</t>
  </si>
  <si>
    <t>2.5.2.1</t>
  </si>
  <si>
    <t>2.5.2.2</t>
  </si>
  <si>
    <t>2.5.1.1</t>
  </si>
  <si>
    <t>2.5.1.2</t>
  </si>
  <si>
    <r>
      <t xml:space="preserve">работающие в дошкольных образовательных организациях </t>
    </r>
    <r>
      <rPr>
        <sz val="11"/>
        <rFont val="Times New Roman"/>
        <family val="1"/>
      </rPr>
      <t>(в %)</t>
    </r>
  </si>
  <si>
    <r>
      <t xml:space="preserve">работающие в образ. организациях высшего образования </t>
    </r>
    <r>
      <rPr>
        <sz val="11"/>
        <rFont val="Times New Roman"/>
        <family val="1"/>
      </rPr>
      <t>(вузах)</t>
    </r>
    <r>
      <rPr>
        <b/>
        <sz val="11"/>
        <rFont val="Times New Roman"/>
        <family val="1"/>
      </rPr>
      <t xml:space="preserve"> и филиалах </t>
    </r>
    <r>
      <rPr>
        <sz val="11"/>
        <rFont val="Times New Roman"/>
        <family val="1"/>
      </rPr>
      <t>(в %)</t>
    </r>
  </si>
  <si>
    <r>
      <t xml:space="preserve">работающие в профессиональных образовательных организациях </t>
    </r>
    <r>
      <rPr>
        <sz val="11"/>
        <rFont val="Times New Roman"/>
        <family val="1"/>
      </rPr>
      <t>(СПО)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</si>
  <si>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t>работающие в организациях дополнительного образования детей</t>
    </r>
    <r>
      <rPr>
        <sz val="11"/>
        <rFont val="Times New Roman"/>
        <family val="1"/>
      </rPr>
      <t xml:space="preserve"> (в %)</t>
    </r>
  </si>
  <si>
    <t>молодежь до 35 лет из педагогических работников (в %)</t>
  </si>
  <si>
    <r>
      <t xml:space="preserve">научно-педагогические работники </t>
    </r>
    <r>
      <rPr>
        <sz val="11"/>
        <rFont val="Times New Roman"/>
        <family val="1"/>
      </rPr>
      <t>(ППС и научные работники) (в %)</t>
    </r>
  </si>
  <si>
    <t>молодежь до 35 лет из научно-педагогических работников (ППС и науч. раб.) (в %)</t>
  </si>
  <si>
    <r>
      <t xml:space="preserve">молодежь до 35 лет из пед. работников и научно-пед. раб. </t>
    </r>
    <r>
      <rPr>
        <sz val="11"/>
        <rFont val="Times New Roman"/>
        <family val="1"/>
      </rPr>
      <t>(ППС и науч. раб.)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</si>
  <si>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rPr>
        <b/>
        <sz val="11"/>
        <rFont val="Times New Roman"/>
        <family val="1"/>
      </rPr>
      <t>работающие и обучающиеся (студенты)</t>
    </r>
    <r>
      <rPr>
        <sz val="11"/>
        <rFont val="Times New Roman"/>
        <family val="1"/>
      </rPr>
      <t xml:space="preserve"> (в %)</t>
    </r>
  </si>
  <si>
    <t>2.2.3.1</t>
  </si>
  <si>
    <t>2.2.3.2</t>
  </si>
  <si>
    <t>2.2.2.1</t>
  </si>
  <si>
    <t>2.2.2.2</t>
  </si>
  <si>
    <t>2.2.1.1</t>
  </si>
  <si>
    <t>2.2.1.2</t>
  </si>
  <si>
    <t>2.2.1.3</t>
  </si>
  <si>
    <t>2.2.1.4</t>
  </si>
  <si>
    <t>2.2.1.5</t>
  </si>
  <si>
    <t>2.2.1.6</t>
  </si>
  <si>
    <t>2.2.1.7</t>
  </si>
  <si>
    <t>2.1.13.2.1.</t>
  </si>
  <si>
    <t>2.1.13.3.1.</t>
  </si>
  <si>
    <t>2.1.13.3.2.</t>
  </si>
  <si>
    <t>2.1.13.2.2.</t>
  </si>
  <si>
    <t>2.1.13.1.1.</t>
  </si>
  <si>
    <t>2.1.13.1.2.</t>
  </si>
  <si>
    <t>2.1.12.1.</t>
  </si>
  <si>
    <t>2.1.12.2.</t>
  </si>
  <si>
    <t>2.1.9.1</t>
  </si>
  <si>
    <t>2.1.9.2</t>
  </si>
  <si>
    <t>2.1.9.3</t>
  </si>
  <si>
    <t>2.1.9.4</t>
  </si>
  <si>
    <t>2.1.7.1</t>
  </si>
  <si>
    <t>2.1.7.2</t>
  </si>
  <si>
    <t>2.1.7.3</t>
  </si>
  <si>
    <t>2.1.7.4</t>
  </si>
  <si>
    <t>2.1.8.1</t>
  </si>
  <si>
    <t>2.1.8.2</t>
  </si>
  <si>
    <t>2.1.8.3</t>
  </si>
  <si>
    <t>2.1.8.4</t>
  </si>
  <si>
    <t>2.1.6.1</t>
  </si>
  <si>
    <t>2.1.6.2</t>
  </si>
  <si>
    <t>2.1.6.3</t>
  </si>
  <si>
    <t>2.1.6.4</t>
  </si>
  <si>
    <t>в т.ч.: в организациях (учреждениях) педагогического образования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</si>
  <si>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</si>
  <si>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</si>
  <si>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</si>
  <si>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</si>
  <si>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</si>
  <si>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</si>
  <si>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</si>
  <si>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</si>
  <si>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</si>
  <si>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</si>
  <si>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2.1.5.11</t>
  </si>
  <si>
    <t>2.1.5.12</t>
  </si>
  <si>
    <t>2.1.5.13</t>
  </si>
  <si>
    <t>2.1.5.14</t>
  </si>
  <si>
    <t>2.1.5.15</t>
  </si>
  <si>
    <t>2.1.5.16</t>
  </si>
  <si>
    <t>2.1.5.17</t>
  </si>
  <si>
    <t>2.1.5.18</t>
  </si>
  <si>
    <t>2.1.5.19</t>
  </si>
  <si>
    <t>2.1.5.20</t>
  </si>
  <si>
    <t>2.1.5.21</t>
  </si>
  <si>
    <t>2.1.5.22</t>
  </si>
  <si>
    <t>2.1.5.23</t>
  </si>
  <si>
    <t>2.1.5.24</t>
  </si>
  <si>
    <t>2.1.5.25</t>
  </si>
  <si>
    <t>2.1.5.26</t>
  </si>
  <si>
    <t>2.1.5.27</t>
  </si>
  <si>
    <t>2.1.4.1.1</t>
  </si>
  <si>
    <t>2.1.4.1.2</t>
  </si>
  <si>
    <t>2.1.4.1.3</t>
  </si>
  <si>
    <t>2.1.4.1.4</t>
  </si>
  <si>
    <t>2.1.4.1.5</t>
  </si>
  <si>
    <t>2.1.4.1.6</t>
  </si>
  <si>
    <t>2.1.4.1.7</t>
  </si>
  <si>
    <t>2.1.4.1.8</t>
  </si>
  <si>
    <t>2.1.4.1.9</t>
  </si>
  <si>
    <t>2.1.4.1.10</t>
  </si>
  <si>
    <t>2.1.4.1.11</t>
  </si>
  <si>
    <t>2.1.4.1.12</t>
  </si>
  <si>
    <t>2.1.4.1.13</t>
  </si>
  <si>
    <t>2.1.4.1.14</t>
  </si>
  <si>
    <t>2.1.4.1.15</t>
  </si>
  <si>
    <t>2.1.4.1.16</t>
  </si>
  <si>
    <t>2.1.4.1.17</t>
  </si>
  <si>
    <t>2.1.4.1.18</t>
  </si>
  <si>
    <t>2.1.4.1.19</t>
  </si>
  <si>
    <t>2.1.4.1.20</t>
  </si>
  <si>
    <t>2.1.4.1.21</t>
  </si>
  <si>
    <t>2.1.4.1.22</t>
  </si>
  <si>
    <t>2.1.4.1.23</t>
  </si>
  <si>
    <t>2.1.4.1.24</t>
  </si>
  <si>
    <t>2.1.4.1.25</t>
  </si>
  <si>
    <t>2.1.4.1.26</t>
  </si>
  <si>
    <t>2.1.4.1.27</t>
  </si>
  <si>
    <t>2.1.4.1.28</t>
  </si>
  <si>
    <t>2.1.4.1.29</t>
  </si>
  <si>
    <t>2.1.4.1.30</t>
  </si>
  <si>
    <t>2.1.4.1.31</t>
  </si>
  <si>
    <t>2.1.4.1.32</t>
  </si>
  <si>
    <t>2.1.4.1.33</t>
  </si>
  <si>
    <t>2.1.4.1.34</t>
  </si>
  <si>
    <t>2.1.4.1.35</t>
  </si>
  <si>
    <t>2.1.4.0.</t>
  </si>
  <si>
    <t>2.1.4.2</t>
  </si>
  <si>
    <t>2.1.4.3</t>
  </si>
  <si>
    <t>2.1.4.4</t>
  </si>
  <si>
    <t>2.1.4.5</t>
  </si>
  <si>
    <t>2.1.4.6</t>
  </si>
  <si>
    <t>2.1.4.7</t>
  </si>
  <si>
    <t>2.1.4.8</t>
  </si>
  <si>
    <t>2.1.4.9</t>
  </si>
  <si>
    <t>2.1.4.10</t>
  </si>
  <si>
    <t>2.1.4.11</t>
  </si>
  <si>
    <t>2.1.4.12</t>
  </si>
  <si>
    <t>2.1.4.13</t>
  </si>
  <si>
    <t>2.1.4.14</t>
  </si>
  <si>
    <t>2.1.4.15</t>
  </si>
  <si>
    <t>2.1.4.16</t>
  </si>
  <si>
    <t>2.1.4.17</t>
  </si>
  <si>
    <t>2.1.4.18</t>
  </si>
  <si>
    <t>2.1.4.19</t>
  </si>
  <si>
    <t>2.1.4.20</t>
  </si>
  <si>
    <t>2.1.4.21</t>
  </si>
  <si>
    <t>2.1.4.22</t>
  </si>
  <si>
    <t>2.1.4.23</t>
  </si>
  <si>
    <t>2.1.4.24</t>
  </si>
  <si>
    <t>2.1.4.25</t>
  </si>
  <si>
    <t>2.1.4.26</t>
  </si>
  <si>
    <t>2.1.4.27</t>
  </si>
  <si>
    <t>2.1.4.28</t>
  </si>
  <si>
    <t>2.1.4.29</t>
  </si>
  <si>
    <t>2.1.4.30</t>
  </si>
  <si>
    <t>2.1.4.31</t>
  </si>
  <si>
    <t>2.1.4.32</t>
  </si>
  <si>
    <t>2.1.4.33</t>
  </si>
  <si>
    <t>2.1.4.34</t>
  </si>
  <si>
    <t>2.1.4.35</t>
  </si>
  <si>
    <t>2.1.2.2.</t>
  </si>
  <si>
    <t>2.1.2.3.</t>
  </si>
  <si>
    <t>2.1.2.4.</t>
  </si>
  <si>
    <t>2.1.3.1.</t>
  </si>
  <si>
    <t>2.1.3.2.</t>
  </si>
  <si>
    <t>2.1.3.3.</t>
  </si>
  <si>
    <t>2.1.3.4.</t>
  </si>
  <si>
    <t>1.3.1</t>
  </si>
  <si>
    <t>1.3.2</t>
  </si>
  <si>
    <t>1.3.3</t>
  </si>
  <si>
    <t>1.3.4</t>
  </si>
  <si>
    <t>1.2.5.1</t>
  </si>
  <si>
    <t>1.2.5.2</t>
  </si>
  <si>
    <t>1.2.5.3</t>
  </si>
  <si>
    <t>1.2.6.1</t>
  </si>
  <si>
    <t>1.2.6.2</t>
  </si>
  <si>
    <t>1.2.6.3</t>
  </si>
  <si>
    <t>1.2.7.1</t>
  </si>
  <si>
    <t>1.2.7.2</t>
  </si>
  <si>
    <t>1.2.7.3</t>
  </si>
  <si>
    <t>1.2.8.1</t>
  </si>
  <si>
    <t>1.2.8.2</t>
  </si>
  <si>
    <t>1.2.8.3</t>
  </si>
  <si>
    <t>в т.ч.: организации (учреждения) педагогического образования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</si>
  <si>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</si>
  <si>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</si>
  <si>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</si>
  <si>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</si>
  <si>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</si>
  <si>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</si>
  <si>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</si>
  <si>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</si>
  <si>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1.2.4.9</t>
  </si>
  <si>
    <t>1.2.3.1.1</t>
  </si>
  <si>
    <t>1.2.3.1.2</t>
  </si>
  <si>
    <t>1.2.3.1.3</t>
  </si>
  <si>
    <t>1.2.3.1.4</t>
  </si>
  <si>
    <t>1.2.3.1.5</t>
  </si>
  <si>
    <t>1.2.3.1.6</t>
  </si>
  <si>
    <t>1.2.3.1.7</t>
  </si>
  <si>
    <t>1.2.3.1.8</t>
  </si>
  <si>
    <t>1.2.3.1.9</t>
  </si>
  <si>
    <t>1.2.3.1.10</t>
  </si>
  <si>
    <t>1.2.3.1.11</t>
  </si>
  <si>
    <t>1.2.3.1.12</t>
  </si>
  <si>
    <t>1.2.3.1.13</t>
  </si>
  <si>
    <t>1.2.3.0.</t>
  </si>
  <si>
    <t>1.2.3.2.</t>
  </si>
  <si>
    <t>1.2.3.3.</t>
  </si>
  <si>
    <t>1.2.3.4.</t>
  </si>
  <si>
    <t>1.2.3.5.</t>
  </si>
  <si>
    <t>1.2.3.6.</t>
  </si>
  <si>
    <t>1.2.3.7.</t>
  </si>
  <si>
    <t>1.2.3.8.</t>
  </si>
  <si>
    <t>1.2.3.9.</t>
  </si>
  <si>
    <t>1.2.3.10.</t>
  </si>
  <si>
    <t>1.2.3.11.</t>
  </si>
  <si>
    <t>1.2.3.12.</t>
  </si>
  <si>
    <t>1.2.3.13.</t>
  </si>
  <si>
    <t>1.2.2.1</t>
  </si>
  <si>
    <t>1.2.2.2</t>
  </si>
  <si>
    <t>1.2.2.3</t>
  </si>
  <si>
    <t>1.2.1.2.</t>
  </si>
  <si>
    <t>1.2.1.3.</t>
  </si>
  <si>
    <t>1.1.3.0.</t>
  </si>
  <si>
    <t>1.1.3.1.1.</t>
  </si>
  <si>
    <t>1.1.4.1.</t>
  </si>
  <si>
    <t>2.5.2.3.</t>
  </si>
  <si>
    <t>в т.ч.: - обучающихся (студентов) 1 курса</t>
  </si>
  <si>
    <t xml:space="preserve">                    из них:  - молодежи до 35 лет (включительно)</t>
  </si>
  <si>
    <t xml:space="preserve">                      из них:  - молодежи до 35 лет (включительно)</t>
  </si>
  <si>
    <t xml:space="preserve">                      из них:  - молодежи до 35 лет (включительно) </t>
  </si>
  <si>
    <t xml:space="preserve">          из них:  - молодежи до 35 лет (включительно)</t>
  </si>
  <si>
    <r>
      <t xml:space="preserve">ППО в общеобразовательных организациях </t>
    </r>
    <r>
      <rPr>
        <sz val="11"/>
        <rFont val="Times New Roman"/>
        <family val="1"/>
      </rPr>
      <t>(обр. компл., школы, лицеи и т.д.)</t>
    </r>
  </si>
  <si>
    <t xml:space="preserve">                     из них:  - молодежи до 35 лет (включительно)</t>
  </si>
  <si>
    <r>
      <t>ППО в дошкольных образовательных организациях</t>
    </r>
    <r>
      <rPr>
        <sz val="11"/>
        <rFont val="Times New Roman"/>
        <family val="1"/>
      </rPr>
      <t xml:space="preserve">  </t>
    </r>
  </si>
  <si>
    <r>
      <t xml:space="preserve">ППО в образовательных организациях высшего образования </t>
    </r>
    <r>
      <rPr>
        <sz val="13"/>
        <rFont val="Times New Roman"/>
        <family val="1"/>
      </rPr>
      <t>(вузах)</t>
    </r>
  </si>
  <si>
    <t xml:space="preserve">                       из них:  - молодежи до 35 лет (включительно)</t>
  </si>
  <si>
    <t xml:space="preserve">                                  из них: - молодежи до 35 лет (включительно)</t>
  </si>
  <si>
    <t xml:space="preserve">ППО в обособленных структурных подразделениях (институты, филиалы) вузов </t>
  </si>
  <si>
    <t xml:space="preserve">                                  из них:  - молодежи до 35 лет (включительно)</t>
  </si>
  <si>
    <r>
      <t xml:space="preserve">ППО в професс. образовательных организациях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>:</t>
    </r>
  </si>
  <si>
    <t>ППО в организациях дополнительного образования детей</t>
  </si>
  <si>
    <t xml:space="preserve">ППО в организациях дополнительного профессионального образования </t>
  </si>
  <si>
    <t>ППО в научных организациях</t>
  </si>
  <si>
    <t>ППО в  других организациях</t>
  </si>
  <si>
    <t xml:space="preserve"> количество территориальных организаций Профсоюза - юридических лиц</t>
  </si>
  <si>
    <t>в т.ч.: -молодежи до 35 лет (включительно)</t>
  </si>
  <si>
    <t>В  РЕГИОНАЛЬНОЙ (МЕЖРЕГИОНАЛЬНОЙ) ОРГАНИЗАЦИИ ПРОФСОЮЗА</t>
  </si>
  <si>
    <t>в т.ч.:  - молодежь до 35 лет (включительно)</t>
  </si>
  <si>
    <t xml:space="preserve"> - правовой (главный правовой) инспектор труда Профсоюза</t>
  </si>
  <si>
    <t>В ТЕРРИТОРИАЛЬНЫХ ОРГАНИЗАЦИЯХ ПРОФСОЮЗА</t>
  </si>
  <si>
    <t>в т.ч.: - молодежь до 35 лет (включительно)</t>
  </si>
  <si>
    <r>
      <rPr>
        <b/>
        <u val="single"/>
        <sz val="12"/>
        <rFont val="Times New Roman"/>
        <family val="1"/>
      </rPr>
      <t>В ППО ОБРАЗОВАТЕЛЬНЫХ ОРГАНИЗАЦИЙ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(образовательные комплексы, центры, школы, лицеи, гимназии, детские сады, организации доп образ. детей и т.д.) </t>
    </r>
  </si>
  <si>
    <r>
      <rPr>
        <b/>
        <u val="single"/>
        <sz val="12"/>
        <rFont val="Times New Roman"/>
        <family val="1"/>
      </rPr>
      <t>В ППО НАУЧНЫХ ОРГАНИЗАЦИЙ и ОРГАНИЗАЦИЙ ДОП. ПРОФ.ОБРАЗОВАНИЯ</t>
    </r>
    <r>
      <rPr>
        <b/>
        <sz val="12"/>
        <rFont val="Times New Roman"/>
        <family val="1"/>
      </rPr>
      <t xml:space="preserve">  </t>
    </r>
  </si>
  <si>
    <t>В ППО ОРГАНИЗАЦИЙ ПОДВЕДОМСТВЕННЫХ УЧРЕЖ. И ОРГАНИЗАЦИЙ ПРОФСОЮЗА</t>
  </si>
  <si>
    <t>ОБУЧЕНИЕ ПРОФСОЮЗНОГО АКТИВА и ШТАТНЫХ РАБОТНИКОВ</t>
  </si>
  <si>
    <t xml:space="preserve"> члены профсоюзных бюро (без строки 4.1.1.8.)</t>
  </si>
  <si>
    <t xml:space="preserve"> заместители председателей </t>
  </si>
  <si>
    <t xml:space="preserve">председатели </t>
  </si>
  <si>
    <t>заместители председателей</t>
  </si>
  <si>
    <t xml:space="preserve">бухгалтеры </t>
  </si>
  <si>
    <t>юристы</t>
  </si>
  <si>
    <r>
      <rPr>
        <b/>
        <u val="single"/>
        <sz val="12"/>
        <rFont val="Times New Roman"/>
        <family val="1"/>
      </rPr>
      <t>В ППО ОБУЧАЮЩИХСЯ</t>
    </r>
    <r>
      <rPr>
        <b/>
        <sz val="12"/>
        <rFont val="Times New Roman"/>
        <family val="1"/>
      </rPr>
      <t xml:space="preserve"> (СТУДЕНТОВ) образов. орг. высшего образования (вузов),  в обособ. структур. подразделениях вузов, профессион. образ. (СПО)</t>
    </r>
  </si>
  <si>
    <t xml:space="preserve"> члены контрольно-ревизионных комиссий (без строки 4.1.1.6.)</t>
  </si>
  <si>
    <t>на 1 января 20__ г.</t>
  </si>
  <si>
    <t>ВСЕГО ОБУЧАЮЩИХСЯ (СТУДЕНТОВ) в организациях, в которых имеются члены Профсоюза</t>
  </si>
  <si>
    <r>
      <t xml:space="preserve">ВСЕГО РАБОТАЮЩИХ в организацияхях, в которых имеются члены Профсоюза 
</t>
    </r>
    <r>
      <rPr>
        <u val="single"/>
        <sz val="10"/>
        <rFont val="Times New Roman"/>
        <family val="1"/>
      </rPr>
      <t>(без совмест.)</t>
    </r>
  </si>
  <si>
    <t>в них: - членов Профсоюза-работающих</t>
  </si>
  <si>
    <t xml:space="preserve">- членов Профсоюза-работающих  </t>
  </si>
  <si>
    <t xml:space="preserve">- членов Профсоюза </t>
  </si>
  <si>
    <r>
      <t>- членов Профсоюза-работающих</t>
    </r>
    <r>
      <rPr>
        <i/>
        <sz val="11"/>
        <rFont val="Times New Roman"/>
        <family val="1"/>
      </rPr>
      <t xml:space="preserve"> </t>
    </r>
  </si>
  <si>
    <t>Общее количество школ профсоюзного актива и постоянно действующих семинаров на региональном, муниципальных уровнях и уровне ППО</t>
  </si>
  <si>
    <t>Обучено членов профсоюзного актива и штатных работников за отчетный период на региональном, муниципальных уровнях и уровне ППО</t>
  </si>
  <si>
    <r>
      <t>В ППО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РАБОТАЮЩИХ (в т.ч. ОБЪЕДИНЕННЫХ)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образов. орг. высшего образования (вузов),  в обособ. структур. подразделениях вузов, профессион. образ. (СПО)</t>
    </r>
  </si>
  <si>
    <t xml:space="preserve"> - объединенных организаций</t>
  </si>
  <si>
    <t xml:space="preserve"> - в образовательных организациях высшего образования (вузах) и филиалах</t>
  </si>
  <si>
    <t xml:space="preserve"> - в профессиональных образовательных организациях (СПО)</t>
  </si>
  <si>
    <t xml:space="preserve"> - организаций работающих</t>
  </si>
  <si>
    <t xml:space="preserve"> - организаций обучающихся (студентов) </t>
  </si>
  <si>
    <t>Другие организации</t>
  </si>
  <si>
    <t>ПРОФСОЮЗНЫЙ  АКТИВ ОРГАНИЗАЦИЙ ПРОФСОЮЗА</t>
  </si>
  <si>
    <t xml:space="preserve">из них: </t>
  </si>
  <si>
    <t>ПЕРВИЧНЫЕ ПРОФСОЮЗНЫЕ ОРГАНИЗАЦИИ (ППО)</t>
  </si>
  <si>
    <t xml:space="preserve">ОБЩЕЕ КОЛИЧЕСТВО ПЕРВИЧНЫХ ПРОФСОЮЗНЫХ ОРГАНИЗАЦИЙ </t>
  </si>
  <si>
    <t>2.1.0.</t>
  </si>
  <si>
    <t>2.1.0.1.</t>
  </si>
  <si>
    <t xml:space="preserve">        ВСЕГО малочисленных первичных профсоюзных организаций с численностью до 15 чел.</t>
  </si>
  <si>
    <r>
      <t xml:space="preserve"> члены президиумов</t>
    </r>
    <r>
      <rPr>
        <sz val="11"/>
        <rFont val="Times New Roman"/>
        <family val="1"/>
      </rPr>
      <t xml:space="preserve"> (без строк 4.1.1.1.,4.1.1.2.)</t>
    </r>
  </si>
  <si>
    <t xml:space="preserve"> члены профсоюзных комитетов (без строк 4.1.1.1.,4.1.1.2.,4.1.1.5.)</t>
  </si>
  <si>
    <r>
      <t xml:space="preserve"> члены президиумов</t>
    </r>
    <r>
      <rPr>
        <sz val="11"/>
        <rFont val="Times New Roman"/>
        <family val="1"/>
      </rPr>
      <t xml:space="preserve"> (без строк 4.1.2.1., 4.1.2.2.)</t>
    </r>
  </si>
  <si>
    <t xml:space="preserve"> члены комитетов (советов)  (без строк 4.1.2.1.,4.1.2.2.,4.1.2.6.)</t>
  </si>
  <si>
    <r>
      <t xml:space="preserve"> члены президума</t>
    </r>
    <r>
      <rPr>
        <sz val="11"/>
        <rFont val="Times New Roman"/>
        <family val="1"/>
      </rPr>
      <t xml:space="preserve"> (без строк 4.1.3.1., 4.1.3.2.)</t>
    </r>
  </si>
  <si>
    <t xml:space="preserve"> члены комитета (совета) (без строк 4.1.3.1., 4.1.3.2..4.1.3.6.)</t>
  </si>
  <si>
    <t>технический (главный технический) инспектор труда Профсоюза</t>
  </si>
  <si>
    <t>профсоюзных организаций структурных подразделений</t>
  </si>
  <si>
    <t>профсоюзных групп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</si>
</sst>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89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.5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Arial Cyr"/>
      <family val="2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sz val="13"/>
      <name val="Arial Cyr"/>
      <family val="2"/>
    </font>
    <font>
      <b/>
      <i/>
      <u val="single"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2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2"/>
    </font>
    <font>
      <sz val="8"/>
      <name val="Arial"/>
      <family val="2"/>
    </font>
    <font>
      <sz val="8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0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rgb="FFC00000"/>
      <name val="Arial Cyr"/>
      <family val="2"/>
    </font>
    <font>
      <sz val="10"/>
      <color rgb="FFFF0000"/>
      <name val="Arial Cyr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rgb="FF00B050"/>
      <name val="Arial Cyr"/>
      <family val="2"/>
    </font>
    <font>
      <b/>
      <sz val="10"/>
      <color rgb="FFFF0000"/>
      <name val="Arial Cyr"/>
      <family val="0"/>
    </font>
    <font>
      <sz val="10"/>
      <color rgb="FF0070C0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medium"/>
    </border>
    <border>
      <left/>
      <right/>
      <top style="thin">
        <color indexed="8"/>
      </top>
      <bottom style="medium"/>
    </border>
    <border>
      <left/>
      <right/>
      <top style="thin"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/>
      <right/>
      <top style="thin"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 style="thin">
        <color indexed="8"/>
      </bottom>
    </border>
    <border>
      <left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/>
      <right style="thin"/>
      <top style="medium"/>
      <bottom style="thin"/>
    </border>
    <border>
      <left/>
      <right style="medium"/>
      <top style="thin">
        <color indexed="8"/>
      </top>
      <bottom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1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4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Border="0">
      <alignment/>
      <protection/>
    </xf>
    <xf numFmtId="0" fontId="81" fillId="0" borderId="0" applyBorder="0">
      <alignment/>
      <protection/>
    </xf>
    <xf numFmtId="0" fontId="81" fillId="0" borderId="0" applyBorder="0">
      <alignment/>
      <protection/>
    </xf>
    <xf numFmtId="0" fontId="81" fillId="0" borderId="10">
      <alignment/>
      <protection/>
    </xf>
    <xf numFmtId="0" fontId="0" fillId="0" borderId="0" applyBorder="0" applyProtection="0">
      <alignment/>
    </xf>
    <xf numFmtId="0" fontId="80" fillId="0" borderId="0" applyBorder="0">
      <alignment/>
      <protection/>
    </xf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3" fontId="3" fillId="33" borderId="11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3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3" fontId="3" fillId="34" borderId="26" xfId="0" applyNumberFormat="1" applyFont="1" applyFill="1" applyBorder="1" applyAlignment="1" applyProtection="1">
      <alignment horizontal="center" vertical="center"/>
      <protection/>
    </xf>
    <xf numFmtId="3" fontId="3" fillId="34" borderId="27" xfId="0" applyNumberFormat="1" applyFont="1" applyFill="1" applyBorder="1" applyAlignment="1" applyProtection="1">
      <alignment horizontal="center" vertical="center"/>
      <protection/>
    </xf>
    <xf numFmtId="0" fontId="81" fillId="0" borderId="0" xfId="0" applyFont="1" applyAlignment="1">
      <alignment/>
    </xf>
    <xf numFmtId="3" fontId="3" fillId="33" borderId="28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left" vertical="top"/>
    </xf>
    <xf numFmtId="0" fontId="9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 applyProtection="1">
      <alignment horizontal="center" vertical="center"/>
      <protection/>
    </xf>
    <xf numFmtId="0" fontId="13" fillId="35" borderId="31" xfId="0" applyFont="1" applyFill="1" applyBorder="1" applyAlignment="1" applyProtection="1">
      <alignment horizontal="center" vertical="center"/>
      <protection/>
    </xf>
    <xf numFmtId="3" fontId="3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3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>
      <alignment horizontal="left" vertical="center"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9" fillId="33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left" vertical="center"/>
    </xf>
    <xf numFmtId="3" fontId="3" fillId="34" borderId="14" xfId="0" applyNumberFormat="1" applyFont="1" applyFill="1" applyBorder="1" applyAlignment="1" applyProtection="1">
      <alignment horizontal="center" vertical="center"/>
      <protection/>
    </xf>
    <xf numFmtId="0" fontId="22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33" borderId="4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9" fillId="33" borderId="0" xfId="0" applyFont="1" applyFill="1" applyBorder="1" applyAlignment="1" applyProtection="1">
      <alignment horizontal="left" vertical="center"/>
      <protection/>
    </xf>
    <xf numFmtId="3" fontId="3" fillId="34" borderId="15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 applyProtection="1">
      <alignment horizontal="center" vertical="center"/>
      <protection/>
    </xf>
    <xf numFmtId="164" fontId="3" fillId="34" borderId="15" xfId="56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64" fontId="3" fillId="34" borderId="44" xfId="56" applyNumberFormat="1" applyFont="1" applyFill="1" applyBorder="1" applyAlignment="1" applyProtection="1">
      <alignment horizontal="center" vertical="center"/>
      <protection/>
    </xf>
    <xf numFmtId="164" fontId="3" fillId="34" borderId="16" xfId="56" applyNumberFormat="1" applyFont="1" applyFill="1" applyBorder="1" applyAlignment="1" applyProtection="1">
      <alignment horizontal="center" vertical="center"/>
      <protection/>
    </xf>
    <xf numFmtId="164" fontId="3" fillId="34" borderId="12" xfId="56" applyNumberFormat="1" applyFont="1" applyFill="1" applyBorder="1" applyAlignment="1" applyProtection="1">
      <alignment horizontal="center" vertical="center"/>
      <protection/>
    </xf>
    <xf numFmtId="3" fontId="4" fillId="33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0" borderId="30" xfId="0" applyFont="1" applyBorder="1" applyAlignment="1">
      <alignment/>
    </xf>
    <xf numFmtId="0" fontId="4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0" fillId="33" borderId="41" xfId="0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>
      <alignment horizontal="left" vertical="center"/>
    </xf>
    <xf numFmtId="3" fontId="4" fillId="33" borderId="45" xfId="0" applyNumberFormat="1" applyFont="1" applyFill="1" applyBorder="1" applyAlignment="1" applyProtection="1">
      <alignment horizontal="center" vertical="center"/>
      <protection locked="0"/>
    </xf>
    <xf numFmtId="3" fontId="4" fillId="33" borderId="46" xfId="0" applyNumberFormat="1" applyFont="1" applyFill="1" applyBorder="1" applyAlignment="1" applyProtection="1">
      <alignment horizontal="center" vertical="center"/>
      <protection locked="0"/>
    </xf>
    <xf numFmtId="3" fontId="4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3" fontId="4" fillId="0" borderId="15" xfId="0" applyNumberFormat="1" applyFont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49" fontId="9" fillId="0" borderId="39" xfId="0" applyNumberFormat="1" applyFont="1" applyBorder="1" applyAlignment="1">
      <alignment/>
    </xf>
    <xf numFmtId="0" fontId="0" fillId="33" borderId="48" xfId="0" applyFont="1" applyFill="1" applyBorder="1" applyAlignment="1">
      <alignment horizontal="right" vertical="center"/>
    </xf>
    <xf numFmtId="0" fontId="25" fillId="35" borderId="33" xfId="0" applyFont="1" applyFill="1" applyBorder="1" applyAlignment="1">
      <alignment horizontal="left" vertical="center"/>
    </xf>
    <xf numFmtId="3" fontId="19" fillId="34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19" fillId="35" borderId="33" xfId="0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>
      <alignment horizontal="left" vertical="center"/>
    </xf>
    <xf numFmtId="3" fontId="19" fillId="34" borderId="14" xfId="0" applyNumberFormat="1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12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49" fontId="9" fillId="0" borderId="0" xfId="0" applyNumberFormat="1" applyFont="1" applyBorder="1" applyAlignment="1">
      <alignment horizontal="left" indent="5"/>
    </xf>
    <xf numFmtId="49" fontId="9" fillId="0" borderId="0" xfId="0" applyNumberFormat="1" applyFont="1" applyBorder="1" applyAlignment="1">
      <alignment horizontal="left" indent="6"/>
    </xf>
    <xf numFmtId="0" fontId="3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right" vertical="center"/>
    </xf>
    <xf numFmtId="0" fontId="4" fillId="33" borderId="5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28" fillId="33" borderId="57" xfId="0" applyFont="1" applyFill="1" applyBorder="1" applyAlignment="1" applyProtection="1">
      <alignment horizontal="center" vertical="center"/>
      <protection/>
    </xf>
    <xf numFmtId="3" fontId="8" fillId="34" borderId="27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38" fillId="33" borderId="57" xfId="0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>
      <alignment horizontal="left" vertical="center" wrapText="1"/>
    </xf>
    <xf numFmtId="0" fontId="29" fillId="33" borderId="32" xfId="0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>
      <alignment horizontal="left" indent="7"/>
    </xf>
    <xf numFmtId="0" fontId="9" fillId="0" borderId="0" xfId="0" applyFont="1" applyBorder="1" applyAlignment="1">
      <alignment horizontal="left" vertical="center" indent="6"/>
    </xf>
    <xf numFmtId="0" fontId="9" fillId="0" borderId="0" xfId="0" applyFont="1" applyBorder="1" applyAlignment="1">
      <alignment horizontal="left" indent="7"/>
    </xf>
    <xf numFmtId="0" fontId="9" fillId="33" borderId="32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Border="1" applyAlignment="1">
      <alignment horizontal="center" vertical="center"/>
    </xf>
    <xf numFmtId="0" fontId="38" fillId="33" borderId="57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left" vertical="center"/>
    </xf>
    <xf numFmtId="0" fontId="9" fillId="0" borderId="33" xfId="0" applyFont="1" applyBorder="1" applyAlignment="1">
      <alignment/>
    </xf>
    <xf numFmtId="0" fontId="16" fillId="33" borderId="33" xfId="0" applyFont="1" applyFill="1" applyBorder="1" applyAlignment="1">
      <alignment horizontal="left" vertical="top"/>
    </xf>
    <xf numFmtId="0" fontId="9" fillId="33" borderId="33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/>
    </xf>
    <xf numFmtId="164" fontId="10" fillId="33" borderId="11" xfId="56" applyNumberFormat="1" applyFont="1" applyFill="1" applyBorder="1" applyAlignment="1" applyProtection="1">
      <alignment horizontal="center" vertical="center"/>
      <protection/>
    </xf>
    <xf numFmtId="0" fontId="31" fillId="33" borderId="29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 indent="3"/>
      <protection/>
    </xf>
    <xf numFmtId="3" fontId="10" fillId="34" borderId="28" xfId="0" applyNumberFormat="1" applyFont="1" applyFill="1" applyBorder="1" applyAlignment="1">
      <alignment horizontal="center" vertical="center"/>
    </xf>
    <xf numFmtId="3" fontId="10" fillId="34" borderId="60" xfId="0" applyNumberFormat="1" applyFont="1" applyFill="1" applyBorder="1" applyAlignment="1">
      <alignment horizontal="center" vertical="center"/>
    </xf>
    <xf numFmtId="3" fontId="10" fillId="34" borderId="6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/>
      <protection locked="0"/>
    </xf>
    <xf numFmtId="3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62" xfId="0" applyNumberFormat="1" applyFont="1" applyFill="1" applyBorder="1" applyAlignment="1" applyProtection="1">
      <alignment horizontal="center" vertical="center"/>
      <protection locked="0"/>
    </xf>
    <xf numFmtId="3" fontId="4" fillId="33" borderId="63" xfId="0" applyNumberFormat="1" applyFont="1" applyFill="1" applyBorder="1" applyAlignment="1" applyProtection="1">
      <alignment horizontal="center" vertical="center"/>
      <protection locked="0"/>
    </xf>
    <xf numFmtId="3" fontId="2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0" fillId="33" borderId="64" xfId="55" applyFont="1" applyFill="1" applyBorder="1" applyAlignment="1">
      <alignment/>
    </xf>
    <xf numFmtId="0" fontId="85" fillId="0" borderId="0" xfId="0" applyFont="1" applyAlignment="1">
      <alignment/>
    </xf>
    <xf numFmtId="0" fontId="80" fillId="0" borderId="64" xfId="0" applyFont="1" applyBorder="1" applyAlignment="1">
      <alignment/>
    </xf>
    <xf numFmtId="3" fontId="10" fillId="34" borderId="44" xfId="0" applyNumberFormat="1" applyFont="1" applyFill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 wrapText="1"/>
      <protection locked="0"/>
    </xf>
    <xf numFmtId="3" fontId="4" fillId="36" borderId="0" xfId="0" applyNumberFormat="1" applyFont="1" applyFill="1" applyAlignment="1">
      <alignment horizontal="center" vertical="center"/>
    </xf>
    <xf numFmtId="0" fontId="4" fillId="33" borderId="33" xfId="0" applyFont="1" applyFill="1" applyBorder="1" applyAlignment="1">
      <alignment horizontal="right" vertical="center"/>
    </xf>
    <xf numFmtId="16" fontId="4" fillId="33" borderId="33" xfId="0" applyNumberFormat="1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right"/>
    </xf>
    <xf numFmtId="49" fontId="9" fillId="33" borderId="33" xfId="0" applyNumberFormat="1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/>
    </xf>
    <xf numFmtId="0" fontId="9" fillId="33" borderId="33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7" fillId="33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Alignment="1" applyProtection="1">
      <alignment horizontal="center" vertical="center"/>
      <protection/>
    </xf>
    <xf numFmtId="3" fontId="6" fillId="33" borderId="0" xfId="0" applyNumberFormat="1" applyFont="1" applyFill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Alignment="1" applyProtection="1">
      <alignment horizontal="center" vertical="center"/>
      <protection locked="0"/>
    </xf>
    <xf numFmtId="0" fontId="16" fillId="33" borderId="33" xfId="0" applyFont="1" applyFill="1" applyBorder="1" applyAlignment="1">
      <alignment horizontal="left" vertical="top" wrapText="1"/>
    </xf>
    <xf numFmtId="0" fontId="4" fillId="33" borderId="51" xfId="0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33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indent="3"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right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>
      <alignment horizontal="right" vertical="center" wrapText="1"/>
    </xf>
    <xf numFmtId="3" fontId="9" fillId="33" borderId="27" xfId="0" applyNumberFormat="1" applyFont="1" applyFill="1" applyBorder="1" applyAlignment="1" applyProtection="1">
      <alignment horizontal="center" vertical="center"/>
      <protection locked="0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9" fillId="33" borderId="44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2"/>
    </xf>
    <xf numFmtId="0" fontId="37" fillId="0" borderId="0" xfId="0" applyFont="1" applyBorder="1" applyAlignment="1">
      <alignment horizontal="left" indent="2"/>
    </xf>
    <xf numFmtId="0" fontId="16" fillId="0" borderId="0" xfId="52" applyFont="1" applyBorder="1" applyAlignment="1">
      <alignment horizontal="left" vertical="top" wrapText="1"/>
      <protection/>
    </xf>
    <xf numFmtId="0" fontId="1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8" fillId="0" borderId="43" xfId="0" applyFont="1" applyBorder="1" applyAlignment="1">
      <alignment/>
    </xf>
    <xf numFmtId="0" fontId="28" fillId="0" borderId="43" xfId="0" applyFont="1" applyBorder="1" applyAlignment="1">
      <alignment/>
    </xf>
    <xf numFmtId="0" fontId="30" fillId="0" borderId="33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16" fillId="0" borderId="0" xfId="52" applyFont="1" applyBorder="1" applyAlignment="1">
      <alignment horizontal="left" wrapText="1"/>
      <protection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43" xfId="0" applyFont="1" applyBorder="1" applyAlignment="1">
      <alignment/>
    </xf>
    <xf numFmtId="49" fontId="2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19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66" xfId="0" applyBorder="1" applyAlignment="1">
      <alignment/>
    </xf>
    <xf numFmtId="0" fontId="2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16" fillId="0" borderId="39" xfId="0" applyFont="1" applyBorder="1" applyAlignment="1">
      <alignment/>
    </xf>
    <xf numFmtId="0" fontId="27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28" fillId="0" borderId="39" xfId="0" applyFont="1" applyBorder="1" applyAlignment="1">
      <alignment/>
    </xf>
    <xf numFmtId="0" fontId="1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40" fillId="0" borderId="0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Стиль 2" xfId="59"/>
    <cellStyle name="Стиль 3" xfId="60"/>
    <cellStyle name="Стиль 4" xfId="61"/>
    <cellStyle name="Стиль 5" xfId="62"/>
    <cellStyle name="Стиль 6" xfId="63"/>
    <cellStyle name="Текст предупреждения" xfId="64"/>
    <cellStyle name="Comma" xfId="65"/>
    <cellStyle name="Comma [0]" xfId="66"/>
    <cellStyle name="Хороший" xfId="67"/>
  </cellStyles>
  <dxfs count="116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name val="Cambria"/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9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9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rgb="FFFFCCCC"/>
        </patternFill>
      </fill>
      <border/>
    </dxf>
    <dxf>
      <font>
        <color rgb="FFC00000"/>
      </font>
      <fill>
        <patternFill>
          <bgColor rgb="FFFFC7CE"/>
        </patternFill>
      </fill>
      <border/>
    </dxf>
    <dxf>
      <font>
        <color rgb="FF990033"/>
      </font>
      <fill>
        <patternFill>
          <bgColor rgb="FFFFCCCC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7"/>
  <sheetViews>
    <sheetView tabSelected="1" zoomScaleSheetLayoutView="80" zoomScalePageLayoutView="0" workbookViewId="0" topLeftCell="A75">
      <selection activeCell="C6" sqref="C6:D6"/>
    </sheetView>
  </sheetViews>
  <sheetFormatPr defaultColWidth="8.875" defaultRowHeight="12.75"/>
  <cols>
    <col min="1" max="1" width="8.625" style="2" customWidth="1"/>
    <col min="2" max="2" width="6.75390625" style="56" customWidth="1"/>
    <col min="3" max="3" width="96.25390625" style="5" customWidth="1"/>
    <col min="4" max="4" width="8.125" style="23" customWidth="1"/>
    <col min="5" max="5" width="9.25390625" style="230" customWidth="1"/>
    <col min="6" max="6" width="0.12890625" style="5" customWidth="1"/>
    <col min="7" max="7" width="13.125" style="5" customWidth="1"/>
    <col min="8" max="8" width="8.875" style="5" customWidth="1"/>
    <col min="9" max="9" width="9.125" style="0" customWidth="1"/>
    <col min="10" max="16384" width="8.875" style="5" customWidth="1"/>
  </cols>
  <sheetData>
    <row r="1" spans="2:5" ht="12.75">
      <c r="B1" s="293" t="s">
        <v>225</v>
      </c>
      <c r="C1" s="294"/>
      <c r="E1" s="1" t="s">
        <v>56</v>
      </c>
    </row>
    <row r="2" spans="1:5" ht="12.75">
      <c r="A2" s="213">
        <f>F456</f>
        <v>0</v>
      </c>
      <c r="B2" s="293" t="s">
        <v>60</v>
      </c>
      <c r="C2" s="294"/>
      <c r="D2" s="2"/>
      <c r="E2" s="225"/>
    </row>
    <row r="3" spans="3:5" ht="21" customHeight="1">
      <c r="C3" s="3" t="s">
        <v>66</v>
      </c>
      <c r="D3" s="2"/>
      <c r="E3" s="226"/>
    </row>
    <row r="4" spans="3:5" ht="18" customHeight="1">
      <c r="C4" s="67" t="s">
        <v>61</v>
      </c>
      <c r="D4" s="126"/>
      <c r="E4" s="227"/>
    </row>
    <row r="5" spans="3:5" ht="15.75">
      <c r="C5" s="255" t="s">
        <v>623</v>
      </c>
      <c r="D5" s="126"/>
      <c r="E5" s="227"/>
    </row>
    <row r="6" spans="1:8" ht="33" customHeight="1">
      <c r="A6" s="212"/>
      <c r="B6" s="212"/>
      <c r="C6" s="298"/>
      <c r="D6" s="299"/>
      <c r="E6" s="212"/>
      <c r="F6" s="205">
        <f>COUNTA(C6)</f>
        <v>0</v>
      </c>
      <c r="G6" s="206" t="str">
        <f>IF(F6=1," ","Не заполнено")</f>
        <v>Не заполнено</v>
      </c>
      <c r="H6"/>
    </row>
    <row r="7" spans="1:5" ht="15.75" customHeight="1" thickBot="1">
      <c r="A7" s="63"/>
      <c r="B7" s="64"/>
      <c r="C7" s="65" t="s">
        <v>226</v>
      </c>
      <c r="D7" s="65"/>
      <c r="E7" s="65"/>
    </row>
    <row r="8" spans="1:5" ht="18.75">
      <c r="A8" s="50" t="s">
        <v>0</v>
      </c>
      <c r="B8" s="280" t="s">
        <v>190</v>
      </c>
      <c r="C8" s="297"/>
      <c r="D8" s="74"/>
      <c r="E8" s="228">
        <f>LEFT(A6,14)</f>
      </c>
    </row>
    <row r="9" spans="1:9" s="110" customFormat="1" ht="17.25" thickBot="1">
      <c r="A9" s="113" t="s">
        <v>1</v>
      </c>
      <c r="B9" s="290" t="s">
        <v>212</v>
      </c>
      <c r="C9" s="291"/>
      <c r="D9" s="62"/>
      <c r="E9" s="114" t="s">
        <v>53</v>
      </c>
      <c r="I9"/>
    </row>
    <row r="10" spans="1:9" s="110" customFormat="1" ht="17.25" customHeight="1" thickBot="1">
      <c r="A10" s="115"/>
      <c r="B10" s="290" t="s">
        <v>73</v>
      </c>
      <c r="C10" s="291"/>
      <c r="D10" s="116" t="s">
        <v>134</v>
      </c>
      <c r="E10" s="112">
        <f>E11+E12+E13+E16+E18+E20+E21+E22+E23</f>
        <v>0</v>
      </c>
      <c r="I10"/>
    </row>
    <row r="11" spans="1:9" s="118" customFormat="1" ht="16.5" thickBot="1">
      <c r="A11" s="47" t="s">
        <v>2</v>
      </c>
      <c r="B11" s="268" t="s">
        <v>229</v>
      </c>
      <c r="C11" s="269"/>
      <c r="D11" s="127"/>
      <c r="E11" s="117"/>
      <c r="F11" s="205">
        <f>COUNTA(E11)</f>
        <v>0</v>
      </c>
      <c r="G11" s="206" t="str">
        <f>IF(F11=1," ","Не заполнено")</f>
        <v>Не заполнено</v>
      </c>
      <c r="H11" s="207">
        <f>IF(E11-E26&gt;=0,,"'НЕПРАВИЛЬНО! п.п.1.1.1. не может быть меньше п.п.1.2.1.!")</f>
        <v>0</v>
      </c>
      <c r="I11"/>
    </row>
    <row r="12" spans="1:9" s="118" customFormat="1" ht="16.5" thickBot="1">
      <c r="A12" s="47" t="s">
        <v>3</v>
      </c>
      <c r="B12" s="268" t="s">
        <v>230</v>
      </c>
      <c r="C12" s="269"/>
      <c r="D12" s="127"/>
      <c r="E12" s="117"/>
      <c r="F12" s="205">
        <f>COUNTA(E12)</f>
        <v>0</v>
      </c>
      <c r="G12" s="206" t="str">
        <f>IF(F12=1," ","Не заполнено")</f>
        <v>Не заполнено</v>
      </c>
      <c r="H12" s="207">
        <f>IF(E12-E30&gt;=0,,"'НЕПРАВИЛЬНО! п.п.1.1.2. не может быть меньше п.п.1.2.2.!")</f>
        <v>0</v>
      </c>
      <c r="I12"/>
    </row>
    <row r="13" spans="1:9" s="118" customFormat="1" ht="16.5" thickBot="1">
      <c r="A13" s="47" t="s">
        <v>74</v>
      </c>
      <c r="B13" s="268" t="s">
        <v>231</v>
      </c>
      <c r="C13" s="269"/>
      <c r="D13" s="127"/>
      <c r="E13" s="117"/>
      <c r="F13" s="205">
        <f>COUNTA(E13)</f>
        <v>0</v>
      </c>
      <c r="G13" s="206" t="str">
        <f>IF(F13=1," ","Не заполнено")</f>
        <v>Не заполнено</v>
      </c>
      <c r="H13" s="207">
        <f>IF(E13-E34&gt;=0,,"'НЕПРАВИЛЬНО! п.п.1.1.3. не может быть меньше п.п.1.2.3.!")</f>
        <v>0</v>
      </c>
      <c r="I13"/>
    </row>
    <row r="14" spans="1:9" s="118" customFormat="1" ht="16.5" thickBot="1">
      <c r="A14" s="214" t="s">
        <v>582</v>
      </c>
      <c r="B14" s="119"/>
      <c r="C14" s="72" t="s">
        <v>213</v>
      </c>
      <c r="D14" s="127"/>
      <c r="E14" s="204"/>
      <c r="F14" s="205">
        <f>COUNTA(E14)</f>
        <v>0</v>
      </c>
      <c r="G14" s="206" t="str">
        <f>IF(F14=1," ","Не заполнено")</f>
        <v>Не заполнено</v>
      </c>
      <c r="H14" s="207">
        <f>IF(E14-E41&gt;=0,,"'НЕПРАВИЛЬНО! п.п.1.1.3. в т.ч. не может быть меньше п.п.1.2.3. в т.ч.!")</f>
        <v>0</v>
      </c>
      <c r="I14"/>
    </row>
    <row r="15" spans="1:9" s="118" customFormat="1" ht="16.5" thickBot="1">
      <c r="A15" s="47" t="s">
        <v>157</v>
      </c>
      <c r="B15" s="295" t="s">
        <v>227</v>
      </c>
      <c r="C15" s="295"/>
      <c r="D15" s="127"/>
      <c r="E15" s="120" t="s">
        <v>53</v>
      </c>
      <c r="I15"/>
    </row>
    <row r="16" spans="1:9" s="118" customFormat="1" ht="16.5" thickBot="1">
      <c r="A16" s="47"/>
      <c r="B16" s="292" t="s">
        <v>232</v>
      </c>
      <c r="C16" s="296"/>
      <c r="D16" s="127"/>
      <c r="E16" s="117"/>
      <c r="F16" s="205">
        <f>COUNTA(E16)</f>
        <v>0</v>
      </c>
      <c r="G16" s="206" t="str">
        <f aca="true" t="shared" si="0" ref="G16:G23">IF(F16=1," ","Не заполнено")</f>
        <v>Не заполнено</v>
      </c>
      <c r="H16" s="207">
        <f>IF(E16-E49&gt;=0,,"'НЕПРАВИЛЬНО! п.п.1.1.3.1. не может быть меньше п.п.1.2.3.1.!")</f>
        <v>0</v>
      </c>
      <c r="I16"/>
    </row>
    <row r="17" spans="1:9" s="118" customFormat="1" ht="16.5" thickBot="1">
      <c r="A17" s="215" t="s">
        <v>583</v>
      </c>
      <c r="B17" s="119"/>
      <c r="C17" s="72" t="s">
        <v>213</v>
      </c>
      <c r="D17" s="127"/>
      <c r="E17" s="204"/>
      <c r="F17" s="205">
        <f>COUNTA(E17)</f>
        <v>0</v>
      </c>
      <c r="G17" s="206" t="str">
        <f t="shared" si="0"/>
        <v>Не заполнено</v>
      </c>
      <c r="H17" s="207">
        <f>IF(E17-E56&gt;=0,,"'НЕПРАВИЛЬНО! п.п.1.1.3.1. в т.ч. не может быть меньше п.п.1.2.3.1. в т.ч.!")</f>
        <v>0</v>
      </c>
      <c r="I17"/>
    </row>
    <row r="18" spans="1:9" s="118" customFormat="1" ht="16.5" thickBot="1">
      <c r="A18" s="47" t="s">
        <v>75</v>
      </c>
      <c r="B18" s="268" t="s">
        <v>233</v>
      </c>
      <c r="C18" s="269"/>
      <c r="D18" s="127"/>
      <c r="E18" s="117"/>
      <c r="F18" s="205">
        <f aca="true" t="shared" si="1" ref="F18:F23">COUNTA(E18)</f>
        <v>0</v>
      </c>
      <c r="G18" s="206" t="str">
        <f t="shared" si="0"/>
        <v>Не заполнено</v>
      </c>
      <c r="H18" s="207">
        <f>IF(E18-E63&gt;=0,,"'НЕПРАВИЛЬНО! п.п.1.1.4. не может быть меньше п.п.1.2.4.!")</f>
        <v>0</v>
      </c>
      <c r="I18"/>
    </row>
    <row r="19" spans="1:9" s="118" customFormat="1" ht="16.5" thickBot="1">
      <c r="A19" s="214" t="s">
        <v>584</v>
      </c>
      <c r="B19" s="119"/>
      <c r="C19" s="72" t="s">
        <v>214</v>
      </c>
      <c r="D19" s="127"/>
      <c r="E19" s="204"/>
      <c r="F19" s="205">
        <f t="shared" si="1"/>
        <v>0</v>
      </c>
      <c r="G19" s="206" t="str">
        <f t="shared" si="0"/>
        <v>Не заполнено</v>
      </c>
      <c r="H19" s="207">
        <f>IF(E19-E68&gt;=0,,"'НЕПРАВИЛЬНО! п.п.1.1.4. в т.ч. не может быть меньше п.п.1.2.4. в т.ч.!")</f>
        <v>0</v>
      </c>
      <c r="I19"/>
    </row>
    <row r="20" spans="1:9" s="118" customFormat="1" ht="16.5" thickBot="1">
      <c r="A20" s="47" t="s">
        <v>76</v>
      </c>
      <c r="B20" s="268" t="s">
        <v>223</v>
      </c>
      <c r="C20" s="269"/>
      <c r="D20" s="127"/>
      <c r="E20" s="117"/>
      <c r="F20" s="205">
        <f t="shared" si="1"/>
        <v>0</v>
      </c>
      <c r="G20" s="206" t="str">
        <f t="shared" si="0"/>
        <v>Не заполнено</v>
      </c>
      <c r="H20" s="207">
        <f>IF(E20-E73&gt;=0,,"'НЕПРАВИЛЬНО! п.п.1.1.5. не может быть меньше п.п.1.2.5.!")</f>
        <v>0</v>
      </c>
      <c r="I20"/>
    </row>
    <row r="21" spans="1:9" s="118" customFormat="1" ht="16.5" thickBot="1">
      <c r="A21" s="47" t="s">
        <v>77</v>
      </c>
      <c r="B21" s="268" t="s">
        <v>62</v>
      </c>
      <c r="C21" s="269"/>
      <c r="D21" s="127"/>
      <c r="E21" s="117"/>
      <c r="F21" s="205">
        <f t="shared" si="1"/>
        <v>0</v>
      </c>
      <c r="G21" s="206" t="str">
        <f t="shared" si="0"/>
        <v>Не заполнено</v>
      </c>
      <c r="H21" s="207">
        <f>IF(E21-E77&gt;=0,,"'НЕПРАВИЛЬНО! п.п.1.1.6. не может быть меньше п.п.1.2.6.!")</f>
        <v>0</v>
      </c>
      <c r="I21"/>
    </row>
    <row r="22" spans="1:9" s="118" customFormat="1" ht="16.5" thickBot="1">
      <c r="A22" s="47" t="s">
        <v>91</v>
      </c>
      <c r="B22" s="268" t="s">
        <v>90</v>
      </c>
      <c r="C22" s="269"/>
      <c r="D22" s="127"/>
      <c r="E22" s="117"/>
      <c r="F22" s="205">
        <f t="shared" si="1"/>
        <v>0</v>
      </c>
      <c r="G22" s="206" t="str">
        <f t="shared" si="0"/>
        <v>Не заполнено</v>
      </c>
      <c r="H22" s="207">
        <f>IF(E22-E81&gt;=0,,"'НЕПРАВИЛЬНО! п.п.1.1.7. не может быть меньше п.п.1.2.7.!")</f>
        <v>0</v>
      </c>
      <c r="I22"/>
    </row>
    <row r="23" spans="1:9" s="118" customFormat="1" ht="16.5" thickBot="1">
      <c r="A23" s="47" t="s">
        <v>193</v>
      </c>
      <c r="B23" s="268" t="s">
        <v>194</v>
      </c>
      <c r="C23" s="269"/>
      <c r="D23" s="128"/>
      <c r="E23" s="117"/>
      <c r="F23" s="205">
        <f t="shared" si="1"/>
        <v>0</v>
      </c>
      <c r="G23" s="206" t="str">
        <f t="shared" si="0"/>
        <v>Не заполнено</v>
      </c>
      <c r="H23" s="207">
        <f>IF(E23-E85&gt;=0,,"'НЕПРАВИЛЬНО! п.п.1.1.8. не может быть меньше п.п.1.2.8.!")</f>
        <v>0</v>
      </c>
      <c r="I23"/>
    </row>
    <row r="24" spans="1:9" s="110" customFormat="1" ht="18" customHeight="1" thickBot="1">
      <c r="A24" s="108" t="s">
        <v>4</v>
      </c>
      <c r="B24" s="290" t="s">
        <v>172</v>
      </c>
      <c r="C24" s="291"/>
      <c r="D24" s="39"/>
      <c r="E24" s="109" t="s">
        <v>53</v>
      </c>
      <c r="I24"/>
    </row>
    <row r="25" spans="1:9" s="110" customFormat="1" ht="15" customHeight="1" thickBot="1">
      <c r="A25" s="111"/>
      <c r="B25" s="290" t="s">
        <v>228</v>
      </c>
      <c r="C25" s="291"/>
      <c r="D25" s="129" t="s">
        <v>133</v>
      </c>
      <c r="E25" s="112">
        <f>E26+E30+E34+E49+E63+E73+E77+E81+E85</f>
        <v>0</v>
      </c>
      <c r="I25"/>
    </row>
    <row r="26" spans="1:9" s="118" customFormat="1" ht="15" customHeight="1" thickBot="1">
      <c r="A26" s="47" t="s">
        <v>97</v>
      </c>
      <c r="B26" s="292" t="s">
        <v>234</v>
      </c>
      <c r="C26" s="269"/>
      <c r="D26" s="127"/>
      <c r="E26" s="117"/>
      <c r="F26" s="205">
        <f aca="true" t="shared" si="2" ref="F26:F47">COUNTA(E26)</f>
        <v>0</v>
      </c>
      <c r="G26" s="206" t="str">
        <f aca="true" t="shared" si="3" ref="G26:G47">IF(F26=1," ","Не заполнено")</f>
        <v>Не заполнено</v>
      </c>
      <c r="H26" s="207">
        <f>IF(E26-E11&lt;=0,,"'НЕПРАВИЛЬНО! п.п.1.2.1. не может быть больше п.п.1.1.1.!")</f>
        <v>0</v>
      </c>
      <c r="I26"/>
    </row>
    <row r="27" spans="1:8" ht="15">
      <c r="A27" s="214" t="s">
        <v>173</v>
      </c>
      <c r="B27" s="287" t="s">
        <v>255</v>
      </c>
      <c r="C27" s="270"/>
      <c r="D27" s="128" t="s">
        <v>251</v>
      </c>
      <c r="E27" s="202"/>
      <c r="F27" s="205">
        <f t="shared" si="2"/>
        <v>0</v>
      </c>
      <c r="G27" s="206" t="str">
        <f t="shared" si="3"/>
        <v>Не заполнено</v>
      </c>
      <c r="H27" s="207">
        <f>IF(E27-E102&gt;=0,,"'НЕПРАВИЛЬНО! п.п.1.2.1. (в них: работающих) не может быть меньше п.п.2.1.2. (в них: чл. Профсоюза)!")</f>
        <v>0</v>
      </c>
    </row>
    <row r="28" spans="1:8" ht="15">
      <c r="A28" s="214" t="s">
        <v>580</v>
      </c>
      <c r="B28" s="247"/>
      <c r="C28" s="55" t="s">
        <v>256</v>
      </c>
      <c r="D28" s="27"/>
      <c r="E28" s="20"/>
      <c r="F28" s="205">
        <f t="shared" si="2"/>
        <v>0</v>
      </c>
      <c r="G28" s="206" t="str">
        <f t="shared" si="3"/>
        <v>Не заполнено</v>
      </c>
      <c r="H28" s="207">
        <f>IF(E28-E103&gt;=0,,"'НЕПРАВИЛЬНО! п.п.1.2.1. (пед. работников) не может быть меньше п.п.2.1.2. (пед. работников)!")</f>
        <v>0</v>
      </c>
    </row>
    <row r="29" spans="1:8" ht="15.75" thickBot="1">
      <c r="A29" s="214" t="s">
        <v>581</v>
      </c>
      <c r="B29" s="247"/>
      <c r="C29" s="4" t="s">
        <v>587</v>
      </c>
      <c r="D29" s="27"/>
      <c r="E29" s="20"/>
      <c r="F29" s="205">
        <f t="shared" si="2"/>
        <v>0</v>
      </c>
      <c r="G29" s="206" t="str">
        <f t="shared" si="3"/>
        <v>Не заполнено</v>
      </c>
      <c r="H29" s="207">
        <f>IF(E29-E104&gt;=0,,"'НЕПРАВИЛЬНО! п.п.1.2.1. (из них: молодежи из пед. раб.) не может быть меньше п.п.2.1.2.  (из них: молодежи из пед. раб.)!")</f>
        <v>0</v>
      </c>
    </row>
    <row r="30" spans="1:9" s="118" customFormat="1" ht="16.5" thickBot="1">
      <c r="A30" s="47" t="s">
        <v>98</v>
      </c>
      <c r="B30" s="268" t="s">
        <v>189</v>
      </c>
      <c r="C30" s="269"/>
      <c r="D30" s="127"/>
      <c r="E30" s="117"/>
      <c r="F30" s="205">
        <f t="shared" si="2"/>
        <v>0</v>
      </c>
      <c r="G30" s="206" t="str">
        <f t="shared" si="3"/>
        <v>Не заполнено</v>
      </c>
      <c r="H30" s="207">
        <f>IF(E30-E12&lt;=0,,"'НЕПРАВИЛЬНО! п.п.1.2.2. не может быть больше п.п.1.1.2.!")</f>
        <v>0</v>
      </c>
      <c r="I30"/>
    </row>
    <row r="31" spans="1:8" ht="15">
      <c r="A31" s="216" t="s">
        <v>577</v>
      </c>
      <c r="B31" s="247" t="s">
        <v>123</v>
      </c>
      <c r="C31" s="55" t="s">
        <v>125</v>
      </c>
      <c r="D31" s="128" t="s">
        <v>251</v>
      </c>
      <c r="E31" s="202"/>
      <c r="F31" s="205">
        <f t="shared" si="2"/>
        <v>0</v>
      </c>
      <c r="G31" s="206" t="str">
        <f t="shared" si="3"/>
        <v>Не заполнено</v>
      </c>
      <c r="H31" s="207">
        <f>IF(E31-E107&gt;=0,,"'НЕПРАВИЛЬНО! п.п.1.2.2. (в них: работающих) не может быть меньше п.п.2.1.3. (в них: чл. Профсоюза)!")</f>
        <v>0</v>
      </c>
    </row>
    <row r="32" spans="1:8" ht="15">
      <c r="A32" s="216" t="s">
        <v>578</v>
      </c>
      <c r="B32" s="247"/>
      <c r="C32" s="55" t="s">
        <v>206</v>
      </c>
      <c r="D32" s="27"/>
      <c r="E32" s="20"/>
      <c r="F32" s="205">
        <f t="shared" si="2"/>
        <v>0</v>
      </c>
      <c r="G32" s="206" t="str">
        <f t="shared" si="3"/>
        <v>Не заполнено</v>
      </c>
      <c r="H32" s="207">
        <f>IF(E32-E108&gt;=0,,"'НЕПРАВИЛЬНО! п.п.1.2.2. (в т.ч.: пед. работников) не может быть меньше п.п.2.1.3. (в т.ч.: пед. работников)!")</f>
        <v>0</v>
      </c>
    </row>
    <row r="33" spans="1:8" ht="15.75" thickBot="1">
      <c r="A33" s="216" t="s">
        <v>579</v>
      </c>
      <c r="B33" s="247"/>
      <c r="C33" s="4" t="s">
        <v>588</v>
      </c>
      <c r="D33" s="27"/>
      <c r="E33" s="21"/>
      <c r="F33" s="205">
        <f t="shared" si="2"/>
        <v>0</v>
      </c>
      <c r="G33" s="206" t="str">
        <f t="shared" si="3"/>
        <v>Не заполнено</v>
      </c>
      <c r="H33" s="207">
        <f>IF(E33-E109&gt;=0,,"'НЕПРАВИЛЬНО! п.п.1.2.2. (из них: молодежи из пед. раб.) не может быть меньше п.п.2.1.3. (из них: молодежи из пед. раб.)!")</f>
        <v>0</v>
      </c>
    </row>
    <row r="34" spans="1:9" s="118" customFormat="1" ht="14.25" customHeight="1" thickBot="1">
      <c r="A34" s="47" t="s">
        <v>99</v>
      </c>
      <c r="B34" s="268" t="s">
        <v>231</v>
      </c>
      <c r="C34" s="269"/>
      <c r="D34" s="127"/>
      <c r="E34" s="117"/>
      <c r="F34" s="205">
        <f t="shared" si="2"/>
        <v>0</v>
      </c>
      <c r="G34" s="206" t="str">
        <f t="shared" si="3"/>
        <v>Не заполнено</v>
      </c>
      <c r="H34" s="207">
        <f>IF(E34-E13&lt;=0,,"'НЕПРАВИЛЬНО! п.п.1.2.3. не может быть больше п.п.1.1.3.!")</f>
        <v>0</v>
      </c>
      <c r="I34"/>
    </row>
    <row r="35" spans="1:8" ht="15">
      <c r="A35" s="214" t="s">
        <v>564</v>
      </c>
      <c r="B35" s="247" t="s">
        <v>123</v>
      </c>
      <c r="C35" s="55" t="s">
        <v>254</v>
      </c>
      <c r="D35" s="128" t="s">
        <v>251</v>
      </c>
      <c r="E35" s="202"/>
      <c r="F35" s="205">
        <f t="shared" si="2"/>
        <v>0</v>
      </c>
      <c r="G35" s="206" t="str">
        <f t="shared" si="3"/>
        <v>Не заполнено</v>
      </c>
      <c r="H35" s="207">
        <f>IF(E35-(E114+E122)&gt;=0,,"'НЕПРАВИЛЬНО! п.п.1.2.3.  a) (всего работающих) не может быть меньше суммы ((п.п.2.1.4. а) (в них: чл. Профсоюза работающих)+п.п.2.1.4. б) (в них: чл. Профсоюза))!")</f>
        <v>0</v>
      </c>
    </row>
    <row r="36" spans="1:8" ht="15">
      <c r="A36" s="214" t="s">
        <v>565</v>
      </c>
      <c r="B36" s="247"/>
      <c r="C36" s="55" t="s">
        <v>206</v>
      </c>
      <c r="D36" s="27"/>
      <c r="E36" s="20"/>
      <c r="F36" s="205">
        <f t="shared" si="2"/>
        <v>0</v>
      </c>
      <c r="G36" s="206" t="str">
        <f>IF(F36=1," ","Не заполнено")</f>
        <v>Не заполнено</v>
      </c>
      <c r="H36" s="207">
        <f>IF(E36-(E115+E123)&gt;=0,,"'НЕПРАВИЛЬНО! п.п.1.2.3. a) (в т.ч. пед. работников) не может быть меньше суммы ((п.п.2.1.4. а) (в т.ч. пед. работников)+п.п.2.1.4. б) (в т.ч. пед. работников))!")</f>
        <v>0</v>
      </c>
    </row>
    <row r="37" spans="1:8" ht="15">
      <c r="A37" s="214" t="s">
        <v>566</v>
      </c>
      <c r="B37" s="247"/>
      <c r="C37" s="4" t="s">
        <v>588</v>
      </c>
      <c r="D37" s="27"/>
      <c r="E37" s="20"/>
      <c r="F37" s="205">
        <f t="shared" si="2"/>
        <v>0</v>
      </c>
      <c r="G37" s="206" t="str">
        <f>IF(F37=1," ","Не заполнено")</f>
        <v>Не заполнено</v>
      </c>
      <c r="H37" s="207">
        <f>IF(E37-(E116+E124)&gt;=0,,"'НЕПРАВИЛЬНО! п.п.1.2.3. a) (из них: молодежи из пед. раб.) не может быть меньше суммы ((п.п.2.1.4. а) (из них: молодежи из пед. раб.)+п.п.2.1.4. б) (из них: молодежи из пед. раб.))!")</f>
        <v>0</v>
      </c>
    </row>
    <row r="38" spans="1:8" ht="15">
      <c r="A38" s="214" t="s">
        <v>567</v>
      </c>
      <c r="B38" s="247"/>
      <c r="C38" s="55" t="s">
        <v>149</v>
      </c>
      <c r="D38" s="27"/>
      <c r="E38" s="20"/>
      <c r="F38" s="205">
        <f t="shared" si="2"/>
        <v>0</v>
      </c>
      <c r="G38" s="206" t="str">
        <f t="shared" si="3"/>
        <v>Не заполнено</v>
      </c>
      <c r="H38" s="207">
        <f>IF(E38-(E117+E125)&gt;=0,,"'НЕПРАВИЛЬНО! п.п.1.2.3. a) (в т.ч.: - ППС) не может быть меньше суммы ((п.п.2.1.4. а) (в т.ч.: - ППС)+п.п.2.1.4. б) (в т.ч.: - ППС))!")</f>
        <v>0</v>
      </c>
    </row>
    <row r="39" spans="1:8" ht="15">
      <c r="A39" s="214" t="s">
        <v>568</v>
      </c>
      <c r="B39" s="247"/>
      <c r="C39" s="4" t="s">
        <v>588</v>
      </c>
      <c r="D39" s="25"/>
      <c r="E39" s="21"/>
      <c r="F39" s="205">
        <f t="shared" si="2"/>
        <v>0</v>
      </c>
      <c r="G39" s="206" t="str">
        <f t="shared" si="3"/>
        <v>Не заполнено</v>
      </c>
      <c r="H39" s="207">
        <f>IF(E39-(E118+E126)&gt;=0,,"'НЕПРАВИЛЬНО! п.п.1.2.3. a) (из них: молодежи из ППС) не может быть меньше суммы ((п.п.2.1.4. а) (из них: молодежи из ППС)+п.п.2.1.4. б) (из них: молодежи из ППС))!")</f>
        <v>0</v>
      </c>
    </row>
    <row r="40" spans="1:8" ht="15.75" thickBot="1">
      <c r="A40" s="214" t="s">
        <v>569</v>
      </c>
      <c r="B40" s="247"/>
      <c r="C40" s="55" t="s">
        <v>168</v>
      </c>
      <c r="D40" s="128" t="s">
        <v>251</v>
      </c>
      <c r="E40" s="203"/>
      <c r="F40" s="205">
        <f t="shared" si="2"/>
        <v>0</v>
      </c>
      <c r="G40" s="206" t="str">
        <f t="shared" si="3"/>
        <v>Не заполнено</v>
      </c>
      <c r="H40" s="207">
        <f>IF(E40-(E119+E129)&gt;=0,,"'НЕПРАВИЛЬНО! п.п.1.2.3. б) (всего обуч.) не может быть меньше суммы ((п.п.2.1.4. а) (в т.ч.: обуч.)+п.п.2.1.4. в) (в них: чл. Профсоюза))!")</f>
        <v>0</v>
      </c>
    </row>
    <row r="41" spans="1:8" ht="15.75" thickBot="1">
      <c r="A41" s="214" t="s">
        <v>570</v>
      </c>
      <c r="B41" s="301" t="s">
        <v>541</v>
      </c>
      <c r="C41" s="302"/>
      <c r="D41" s="127"/>
      <c r="E41" s="223"/>
      <c r="F41" s="205">
        <f t="shared" si="2"/>
        <v>0</v>
      </c>
      <c r="G41" s="206" t="str">
        <f t="shared" si="3"/>
        <v>Не заполнено</v>
      </c>
      <c r="H41" s="207">
        <f>IF(E41-E14&lt;=0,,"'НЕПРАВИЛЬНО! п.п.1.2.3. в т.ч. не может быть больше п.п.1.1.3. в т.ч.!")</f>
        <v>0</v>
      </c>
    </row>
    <row r="42" spans="1:8" ht="15">
      <c r="A42" s="214" t="s">
        <v>571</v>
      </c>
      <c r="B42" s="247" t="s">
        <v>123</v>
      </c>
      <c r="C42" s="60" t="s">
        <v>125</v>
      </c>
      <c r="D42" s="25"/>
      <c r="E42" s="19"/>
      <c r="F42" s="205">
        <f t="shared" si="2"/>
        <v>0</v>
      </c>
      <c r="G42" s="206" t="str">
        <f t="shared" si="3"/>
        <v>Не заполнено</v>
      </c>
      <c r="H42" s="207">
        <f>IF(E42-(E133+E141)&gt;=0,,"'НЕПРАВИЛЬНО! п.п.1.2.3. (в них: работающих) не может быть меньше суммы ((п.п.2.1.4. а) (в них: чл. Профсоюза работающих)+п.п.2.1.4. б) (в них: чл. Профсоюза))!")</f>
        <v>0</v>
      </c>
    </row>
    <row r="43" spans="1:8" ht="15">
      <c r="A43" s="214" t="s">
        <v>572</v>
      </c>
      <c r="B43" s="247"/>
      <c r="C43" s="55" t="s">
        <v>206</v>
      </c>
      <c r="D43" s="25"/>
      <c r="E43" s="19"/>
      <c r="F43" s="205">
        <f t="shared" si="2"/>
        <v>0</v>
      </c>
      <c r="G43" s="206" t="str">
        <f t="shared" si="3"/>
        <v>Не заполнено</v>
      </c>
      <c r="H43" s="207">
        <f>IF(E43-(E134+E142)&gt;=0,,"'НЕПРАВИЛЬНО! п.п.1.2.3. (в т.ч. пед. работников) не может быть меньше суммы ((п.п.2.1.4. а) (в т.ч. пед. работников)+п.п.2.1.4. б) (в т.ч. пед. работников))!")</f>
        <v>0</v>
      </c>
    </row>
    <row r="44" spans="1:8" ht="15">
      <c r="A44" s="214" t="s">
        <v>573</v>
      </c>
      <c r="B44" s="247"/>
      <c r="C44" s="4" t="s">
        <v>588</v>
      </c>
      <c r="D44" s="25"/>
      <c r="E44" s="19"/>
      <c r="F44" s="205">
        <f t="shared" si="2"/>
        <v>0</v>
      </c>
      <c r="G44" s="206" t="str">
        <f t="shared" si="3"/>
        <v>Не заполнено</v>
      </c>
      <c r="H44" s="207">
        <f>IF(E44-(E135+E143)&gt;=0,,"'НЕПРАВИЛЬНО! п.п.1.2.3. (из них: молодежи из пед. раб.) не может быть меньше суммы ((п.п.2.1.4. а) (из них: молодежи из пед. раб.)+п.п.2.1.4. б) (из них: молодежи из пед. раб.))!")</f>
        <v>0</v>
      </c>
    </row>
    <row r="45" spans="1:8" ht="15">
      <c r="A45" s="214" t="s">
        <v>574</v>
      </c>
      <c r="B45" s="247"/>
      <c r="C45" s="60" t="s">
        <v>149</v>
      </c>
      <c r="D45" s="25"/>
      <c r="E45" s="20"/>
      <c r="F45" s="205">
        <f t="shared" si="2"/>
        <v>0</v>
      </c>
      <c r="G45" s="206" t="str">
        <f t="shared" si="3"/>
        <v>Не заполнено</v>
      </c>
      <c r="H45" s="207">
        <f>IF(E45-(E136+E144)&gt;=0,,"'НЕПРАВИЛЬНО! п.п.1.2.3. (в т.ч.: - ППС) не может быть меньше суммы ((п.п.2.1.4. а) (в т.ч.: - ППС)+п.п.2.1.4. б) (в т.ч.: - ППС))!")</f>
        <v>0</v>
      </c>
    </row>
    <row r="46" spans="1:8" ht="15">
      <c r="A46" s="214" t="s">
        <v>575</v>
      </c>
      <c r="B46" s="247"/>
      <c r="C46" s="4" t="s">
        <v>588</v>
      </c>
      <c r="D46" s="25"/>
      <c r="E46" s="21"/>
      <c r="F46" s="205">
        <f t="shared" si="2"/>
        <v>0</v>
      </c>
      <c r="G46" s="206" t="str">
        <f t="shared" si="3"/>
        <v>Не заполнено</v>
      </c>
      <c r="H46" s="207">
        <f>IF(E46-(E137+E145)&gt;=0,,"'НЕПРАВИЛЬНО! п.п.1.2.3. (из них: молодежи из ППС) не может быть меньше суммы ((п.п.2.1.4. а) (из них: молодежи из ППС)+п.п.2.1.4. б) (из них: молодежи из ППС))!")</f>
        <v>0</v>
      </c>
    </row>
    <row r="47" spans="1:8" ht="15">
      <c r="A47" s="214" t="s">
        <v>576</v>
      </c>
      <c r="B47" s="247"/>
      <c r="C47" s="35" t="s">
        <v>167</v>
      </c>
      <c r="D47" s="27"/>
      <c r="E47" s="21"/>
      <c r="F47" s="205">
        <f t="shared" si="2"/>
        <v>0</v>
      </c>
      <c r="G47" s="206" t="str">
        <f t="shared" si="3"/>
        <v>Не заполнено</v>
      </c>
      <c r="H47" s="207">
        <f>IF(E47-(E138+E148)&gt;=0,,"'НЕПРАВИЛЬНО! п.п.1.2.3. (в них: обуч.) не может быть меньше суммы ((п.п.2.1.4. а) (в них: обуч.)+п.п.2.1.4. в) (в них: чл. Профсоюза))!")</f>
        <v>0</v>
      </c>
    </row>
    <row r="48" spans="1:9" s="118" customFormat="1" ht="16.5" thickBot="1">
      <c r="A48" s="47" t="s">
        <v>100</v>
      </c>
      <c r="B48" s="295" t="s">
        <v>145</v>
      </c>
      <c r="C48" s="295"/>
      <c r="D48" s="26"/>
      <c r="E48" s="121" t="s">
        <v>53</v>
      </c>
      <c r="I48"/>
    </row>
    <row r="49" spans="1:9" s="118" customFormat="1" ht="16.5" thickBot="1">
      <c r="A49" s="47"/>
      <c r="B49" s="292" t="s">
        <v>235</v>
      </c>
      <c r="C49" s="296"/>
      <c r="D49" s="127"/>
      <c r="E49" s="117"/>
      <c r="F49" s="205">
        <f aca="true" t="shared" si="4" ref="F49:F88">COUNTA(E49)</f>
        <v>0</v>
      </c>
      <c r="G49" s="206" t="str">
        <f aca="true" t="shared" si="5" ref="G49:G88">IF(F49=1," ","Не заполнено")</f>
        <v>Не заполнено</v>
      </c>
      <c r="H49" s="207">
        <f>IF(E49-E16&lt;=0,,"'НЕПРАВИЛЬНО! п.п.1.2.3.1. не может быть больше  п.п.1.1.3.1.!")</f>
        <v>0</v>
      </c>
      <c r="I49"/>
    </row>
    <row r="50" spans="1:8" ht="15">
      <c r="A50" s="216" t="s">
        <v>551</v>
      </c>
      <c r="B50" s="247" t="s">
        <v>123</v>
      </c>
      <c r="C50" s="55" t="s">
        <v>253</v>
      </c>
      <c r="D50" s="128" t="s">
        <v>251</v>
      </c>
      <c r="E50" s="202"/>
      <c r="F50" s="205">
        <f t="shared" si="4"/>
        <v>0</v>
      </c>
      <c r="G50" s="206" t="str">
        <f t="shared" si="5"/>
        <v>Не заполнено</v>
      </c>
      <c r="H50" s="207">
        <f>IF(E50-(E152+E160)&gt;=0,,"'НЕПРАВИЛЬНО! п.п.1.2.3.1. a) (всего работающих) не может быть меньше суммы ((п.п.2.1.4.1. а) (в них: чл. Профсоюза работающих)+п.п.2.1.4.1. б) (в них: чл. Профсоюза))!")</f>
        <v>0</v>
      </c>
    </row>
    <row r="51" spans="1:8" ht="15">
      <c r="A51" s="216" t="s">
        <v>552</v>
      </c>
      <c r="B51" s="247"/>
      <c r="C51" s="55" t="s">
        <v>206</v>
      </c>
      <c r="D51" s="27"/>
      <c r="E51" s="20"/>
      <c r="F51" s="205">
        <f t="shared" si="4"/>
        <v>0</v>
      </c>
      <c r="G51" s="206" t="str">
        <f t="shared" si="5"/>
        <v>Не заполнено</v>
      </c>
      <c r="H51" s="207">
        <f>IF(E51-(E153+E161)&gt;=0,,"'НЕПРАВИЛЬНО! п.п.1.2.3.1. a) (в т.ч. пед. работников) не может быть меньше суммы ((п.п.2.1.4.1. а) (в т.ч. пед. работников)+п.п.2.1.4.1. б) (в т.ч. пед. работников))!")</f>
        <v>0</v>
      </c>
    </row>
    <row r="52" spans="1:8" ht="15">
      <c r="A52" s="216" t="s">
        <v>553</v>
      </c>
      <c r="B52" s="247"/>
      <c r="C52" s="4" t="s">
        <v>588</v>
      </c>
      <c r="D52" s="27"/>
      <c r="E52" s="20"/>
      <c r="F52" s="205">
        <f t="shared" si="4"/>
        <v>0</v>
      </c>
      <c r="G52" s="206" t="str">
        <f t="shared" si="5"/>
        <v>Не заполнено</v>
      </c>
      <c r="H52" s="207">
        <f>IF(E52-(E154+E162)&gt;=0,,"'НЕПРАВИЛЬНО! п.п.1.2.3.1. a) (их них: молодежи из пед. раб.) не может быть меньше суммы ((п.п.2.1.4.1. а) (из них: молодежи из пед. раб.)+п.п.2.1.4.1. б) (из них: молодежи из пед.раб.))!")</f>
        <v>0</v>
      </c>
    </row>
    <row r="53" spans="1:8" ht="15">
      <c r="A53" s="216" t="s">
        <v>554</v>
      </c>
      <c r="B53" s="247"/>
      <c r="C53" s="55" t="s">
        <v>149</v>
      </c>
      <c r="D53" s="27"/>
      <c r="E53" s="20"/>
      <c r="F53" s="205">
        <f t="shared" si="4"/>
        <v>0</v>
      </c>
      <c r="G53" s="206" t="str">
        <f t="shared" si="5"/>
        <v>Не заполнено</v>
      </c>
      <c r="H53" s="207">
        <f>IF(E53-(E155+E163)&gt;=0,,"'НЕПРАВИЛЬНО! п.п.1.2.3.1. a) (в т.ч.: - ППС) не может быть меньше суммы ((п.п.2.1.4.1. а) (в т.ч.: - ППС)+п.п.2.1.4.1. б) (в т.ч.: - ППС))!")</f>
        <v>0</v>
      </c>
    </row>
    <row r="54" spans="1:8" ht="15">
      <c r="A54" s="216" t="s">
        <v>555</v>
      </c>
      <c r="B54" s="247"/>
      <c r="C54" s="4" t="s">
        <v>588</v>
      </c>
      <c r="D54" s="25"/>
      <c r="E54" s="21"/>
      <c r="F54" s="205">
        <f t="shared" si="4"/>
        <v>0</v>
      </c>
      <c r="G54" s="206" t="str">
        <f t="shared" si="5"/>
        <v>Не заполнено</v>
      </c>
      <c r="H54" s="207">
        <f>IF(E54-(E156+E164)&gt;=0,,"'НЕПРАВИЛЬНО! п.п.1.2.3.1. a) (из них: молодежи из ППС) не может быть меньше суммы ((п.п.2.1.4.1. а) (из них: молодежи из ППС)+п.п.2.1.4.1. б) (из них: молодежи из ППС))!")</f>
        <v>0</v>
      </c>
    </row>
    <row r="55" spans="1:8" ht="15.75" thickBot="1">
      <c r="A55" s="216" t="s">
        <v>556</v>
      </c>
      <c r="B55" s="247"/>
      <c r="C55" s="55" t="s">
        <v>168</v>
      </c>
      <c r="D55" s="128" t="s">
        <v>251</v>
      </c>
      <c r="E55" s="203"/>
      <c r="F55" s="205">
        <f t="shared" si="4"/>
        <v>0</v>
      </c>
      <c r="G55" s="206" t="str">
        <f t="shared" si="5"/>
        <v>Не заполнено</v>
      </c>
      <c r="H55" s="207">
        <f>IF(E55-(E157+E167)&gt;=0,,"'НЕПРАВИЛЬНО! п.п.1.2.3.1. а) (всего обуч.) не может быть меньше суммы ((п.п.2.1.4.1. а) (в них: обуч.)+п.п.2.1.4.1. в) (в них.: чл. Профсоюза)!")</f>
        <v>0</v>
      </c>
    </row>
    <row r="56" spans="1:8" ht="15.75" thickBot="1">
      <c r="A56" s="216" t="s">
        <v>557</v>
      </c>
      <c r="B56" s="301" t="s">
        <v>541</v>
      </c>
      <c r="C56" s="302"/>
      <c r="D56" s="127"/>
      <c r="E56" s="223"/>
      <c r="F56" s="205">
        <f t="shared" si="4"/>
        <v>0</v>
      </c>
      <c r="G56" s="206" t="str">
        <f t="shared" si="5"/>
        <v>Не заполнено</v>
      </c>
      <c r="H56" s="207">
        <f>IF(E56-E17&lt;=0,,"'НЕПРАВИЛЬНО! п.п.1.2.3.1. в т.ч. не может быть больше п.п.1.1.3.1. в т.ч.!")</f>
        <v>0</v>
      </c>
    </row>
    <row r="57" spans="1:8" ht="15">
      <c r="A57" s="216" t="s">
        <v>558</v>
      </c>
      <c r="B57" s="247" t="s">
        <v>123</v>
      </c>
      <c r="C57" s="60" t="s">
        <v>125</v>
      </c>
      <c r="D57" s="25"/>
      <c r="E57" s="19"/>
      <c r="F57" s="205">
        <f t="shared" si="4"/>
        <v>0</v>
      </c>
      <c r="G57" s="206" t="str">
        <f t="shared" si="5"/>
        <v>Не заполнено</v>
      </c>
      <c r="H57" s="207">
        <f>IF(E57-(E171+E179)&gt;=0,,"'НЕПРАВИЛЬНО! п.п.1.2.3.1. (в них: работающих) не может быть меньше суммы ((п.п.2.1.4.1. а) (в них: чл. Профсоюза работающих)+п.п.2.1.4.1. б) (в них: чл. Профсоюза))!")</f>
        <v>0</v>
      </c>
    </row>
    <row r="58" spans="1:8" ht="15">
      <c r="A58" s="216" t="s">
        <v>559</v>
      </c>
      <c r="B58" s="247"/>
      <c r="C58" s="55" t="s">
        <v>206</v>
      </c>
      <c r="D58" s="25"/>
      <c r="E58" s="19"/>
      <c r="F58" s="205">
        <f t="shared" si="4"/>
        <v>0</v>
      </c>
      <c r="G58" s="206" t="str">
        <f t="shared" si="5"/>
        <v>Не заполнено</v>
      </c>
      <c r="H58" s="207">
        <f>IF(E58-(E172+E180)&gt;=0,,"'НЕПРАВИЛЬНО! п.п.1.2.3.1. (в т.ч. пед. работников) не может быть меньше суммы ((п.п.2.1.4.1. а) (в т.ч. пед. работников)+п.п.2.1.4.1. б) (в т.ч. пед. работников))!")</f>
        <v>0</v>
      </c>
    </row>
    <row r="59" spans="1:8" ht="15">
      <c r="A59" s="216" t="s">
        <v>560</v>
      </c>
      <c r="B59" s="247"/>
      <c r="C59" s="4" t="s">
        <v>588</v>
      </c>
      <c r="D59" s="25"/>
      <c r="E59" s="19"/>
      <c r="F59" s="205">
        <f t="shared" si="4"/>
        <v>0</v>
      </c>
      <c r="G59" s="206" t="str">
        <f t="shared" si="5"/>
        <v>Не заполнено</v>
      </c>
      <c r="H59" s="207">
        <f>IF(E59-(E173+E181)&gt;=0,,"'НЕПРАВИЛЬНО! п.п.1.2.3.1. (из них: молодежи из пед. раб.) не может быть меньше суммы ((п.п.2.1.4.1. а) (из них: молодежи из пед. раб.)+п.п.2.1.4.1 б) (из них: молодежи из пед. раб.))!")</f>
        <v>0</v>
      </c>
    </row>
    <row r="60" spans="1:8" ht="15">
      <c r="A60" s="216" t="s">
        <v>561</v>
      </c>
      <c r="B60" s="247"/>
      <c r="C60" s="60" t="s">
        <v>149</v>
      </c>
      <c r="D60" s="25"/>
      <c r="E60" s="20"/>
      <c r="F60" s="205">
        <f t="shared" si="4"/>
        <v>0</v>
      </c>
      <c r="G60" s="206" t="str">
        <f t="shared" si="5"/>
        <v>Не заполнено</v>
      </c>
      <c r="H60" s="207">
        <f>IF(E60-(E174+E182)&gt;=0,,"'НЕПРАВИЛЬНО! п.п.1.2.3.1. (в т.ч.: - ППС) не может быть меньше суммы ((п.п.2.1.4.1. а) (в т.ч.: - ППС)+п.п.2.1.4.1. б) (в т.ч.: - ППС))!")</f>
        <v>0</v>
      </c>
    </row>
    <row r="61" spans="1:8" ht="15">
      <c r="A61" s="216" t="s">
        <v>562</v>
      </c>
      <c r="B61" s="247"/>
      <c r="C61" s="4" t="s">
        <v>588</v>
      </c>
      <c r="D61" s="25"/>
      <c r="E61" s="20"/>
      <c r="F61" s="205">
        <f t="shared" si="4"/>
        <v>0</v>
      </c>
      <c r="G61" s="206" t="str">
        <f t="shared" si="5"/>
        <v>Не заполнено</v>
      </c>
      <c r="H61" s="207">
        <f>IF(E61-(E175+E183)&gt;=0,,"'НЕПРАВИЛЬНО! п.п.1.2.3.1. (из них: молодежи из ППС) не может быть меньше суммы ((п.п.2.1.4.1. а) (из них: молодежи из ППС)+п.п.2.1.4.1. б) (из них: молодежи из ППС))!")</f>
        <v>0</v>
      </c>
    </row>
    <row r="62" spans="1:8" ht="15.75" thickBot="1">
      <c r="A62" s="216" t="s">
        <v>563</v>
      </c>
      <c r="B62" s="247"/>
      <c r="C62" s="35" t="s">
        <v>167</v>
      </c>
      <c r="D62" s="52"/>
      <c r="E62" s="21"/>
      <c r="F62" s="205">
        <f t="shared" si="4"/>
        <v>0</v>
      </c>
      <c r="G62" s="206" t="str">
        <f t="shared" si="5"/>
        <v>Не заполнено</v>
      </c>
      <c r="H62" s="207">
        <f>IF(E62-(E176+E186)&gt;=0,,"'НЕПРАВИЛЬНО! п.п.1.2.3.1. (в них: обуч.) не может быть меньше суммы ((п.п.2.1.4.1 а) (в них: обуч.)+п.п.2.1.4.1. в) (в них: чл. Профсоюза))!")</f>
        <v>0</v>
      </c>
    </row>
    <row r="63" spans="1:9" s="118" customFormat="1" ht="16.5" thickBot="1">
      <c r="A63" s="44" t="s">
        <v>101</v>
      </c>
      <c r="B63" s="268" t="s">
        <v>233</v>
      </c>
      <c r="C63" s="269"/>
      <c r="D63" s="130"/>
      <c r="E63" s="117"/>
      <c r="F63" s="205">
        <f t="shared" si="4"/>
        <v>0</v>
      </c>
      <c r="G63" s="206" t="str">
        <f t="shared" si="5"/>
        <v>Не заполнено</v>
      </c>
      <c r="H63" s="207">
        <f>IF(E63-E18&lt;=0,,"'НЕПРАВИЛЬНО! п.п.1.2.4. не может быть больше п.п.1.1.4. !")</f>
        <v>0</v>
      </c>
      <c r="I63"/>
    </row>
    <row r="64" spans="1:8" ht="15">
      <c r="A64" s="216" t="s">
        <v>542</v>
      </c>
      <c r="B64" s="247" t="s">
        <v>123</v>
      </c>
      <c r="C64" s="55" t="s">
        <v>252</v>
      </c>
      <c r="D64" s="128" t="s">
        <v>251</v>
      </c>
      <c r="E64" s="202"/>
      <c r="F64" s="205">
        <f t="shared" si="4"/>
        <v>0</v>
      </c>
      <c r="G64" s="206" t="str">
        <f t="shared" si="5"/>
        <v>Не заполнено</v>
      </c>
      <c r="H64" s="207">
        <f>IF(E64-(E190+E196)&gt;=0,,"'НЕПРАВИЛЬНО! п.п.1.2.4. a) (всего работающих) не может быть меньше суммы ((п.п.2.1.5. а) (в них: чл.Профсоюза работающих)+п.п.2.1.5. б) (в них: чл. Профсоюза))!")</f>
        <v>0</v>
      </c>
    </row>
    <row r="65" spans="1:8" ht="15">
      <c r="A65" s="216" t="s">
        <v>543</v>
      </c>
      <c r="B65" s="247"/>
      <c r="C65" s="55" t="s">
        <v>206</v>
      </c>
      <c r="D65" s="27"/>
      <c r="E65" s="20"/>
      <c r="F65" s="205">
        <f t="shared" si="4"/>
        <v>0</v>
      </c>
      <c r="G65" s="206" t="str">
        <f t="shared" si="5"/>
        <v>Не заполнено</v>
      </c>
      <c r="H65" s="207">
        <f>IF(E65-(E191+E197)&gt;=0,,"'НЕПРАВИЛЬНО! п.п.1.2.4. a) (в т.ч. пед. работников) не может быть меньше суммы ((п.п.2.1.5. а) (в т.ч. пед. работников)+п.п.2.1.5. б) (в т.ч. пед. работников))!")</f>
        <v>0</v>
      </c>
    </row>
    <row r="66" spans="1:8" ht="15">
      <c r="A66" s="216" t="s">
        <v>544</v>
      </c>
      <c r="B66" s="247"/>
      <c r="C66" s="4" t="s">
        <v>588</v>
      </c>
      <c r="D66" s="26"/>
      <c r="E66" s="21"/>
      <c r="F66" s="205">
        <f t="shared" si="4"/>
        <v>0</v>
      </c>
      <c r="G66" s="206" t="str">
        <f t="shared" si="5"/>
        <v>Не заполнено</v>
      </c>
      <c r="H66" s="207">
        <f>IF(E66-(E192+E198)&gt;=0,,"'НЕПРАВИЛЬНО! п.п.1.2.4. a) (их них: молодежи из пед. раб.) не может быть меньше суммы ((п.п.2.1.5. а) (из них: молодежи из пед. раб.)+п.п.2.1.5. б) (из них: молодежи из пед.раб.))!")</f>
        <v>0</v>
      </c>
    </row>
    <row r="67" spans="1:8" ht="15.75" thickBot="1">
      <c r="A67" s="216" t="s">
        <v>545</v>
      </c>
      <c r="B67" s="247"/>
      <c r="C67" s="55" t="s">
        <v>168</v>
      </c>
      <c r="D67" s="128" t="s">
        <v>251</v>
      </c>
      <c r="E67" s="203"/>
      <c r="F67" s="205">
        <f t="shared" si="4"/>
        <v>0</v>
      </c>
      <c r="G67" s="206" t="str">
        <f t="shared" si="5"/>
        <v>Не заполнено</v>
      </c>
      <c r="H67" s="207">
        <f>IF(E67-(E193+E201)&gt;=0,,"'НЕПРАВИЛЬНО! п.п.1.2.4. б) (всего обуч.) не может быть меньше суммы ((п.п.2.1.5. а) (в них: обуч.)+п.п.2.1.5. в) (в них: чл. Профсоюза))!")</f>
        <v>0</v>
      </c>
    </row>
    <row r="68" spans="1:8" ht="15.75" thickBot="1">
      <c r="A68" s="216" t="s">
        <v>546</v>
      </c>
      <c r="B68" s="301" t="s">
        <v>541</v>
      </c>
      <c r="C68" s="302"/>
      <c r="D68" s="127"/>
      <c r="E68" s="223"/>
      <c r="F68" s="205">
        <f t="shared" si="4"/>
        <v>0</v>
      </c>
      <c r="G68" s="206" t="str">
        <f t="shared" si="5"/>
        <v>Не заполнено</v>
      </c>
      <c r="H68" s="207">
        <f>IF(E68-E19&lt;=0,,"'НЕПРАВИЛЬНО! п.п.1.2.4. в т.ч. не может быть больше п.п.1.1.4. в т.ч. !")</f>
        <v>0</v>
      </c>
    </row>
    <row r="69" spans="1:8" ht="15">
      <c r="A69" s="216" t="s">
        <v>547</v>
      </c>
      <c r="B69" s="247" t="s">
        <v>123</v>
      </c>
      <c r="C69" s="60" t="s">
        <v>125</v>
      </c>
      <c r="D69" s="25"/>
      <c r="E69" s="19"/>
      <c r="F69" s="205">
        <f t="shared" si="4"/>
        <v>0</v>
      </c>
      <c r="G69" s="206" t="str">
        <f t="shared" si="5"/>
        <v>Не заполнено</v>
      </c>
      <c r="H69" s="207">
        <f>IF(E69-(E205+E211)&gt;=0,,"'НЕПРАВИЛЬНО! п.п.1.2.4. a) (всего работающих) не может быть меньше суммы ((п.п.2.1.5. а) (в них: чл.Профсоюза работающих)+п.п.2.1.5. б) (в них: чл. Профсоюза))!")</f>
        <v>0</v>
      </c>
    </row>
    <row r="70" spans="1:12" ht="15">
      <c r="A70" s="216" t="s">
        <v>548</v>
      </c>
      <c r="B70" s="247"/>
      <c r="C70" s="9" t="s">
        <v>206</v>
      </c>
      <c r="D70" s="25"/>
      <c r="E70" s="20"/>
      <c r="F70" s="205">
        <f t="shared" si="4"/>
        <v>0</v>
      </c>
      <c r="G70" s="206" t="str">
        <f t="shared" si="5"/>
        <v>Не заполнено</v>
      </c>
      <c r="H70" s="207">
        <f>IF(E70-(E206+E212)&gt;=0,,"'НЕПРАВИЛЬНО! п.п.1.2.4. a) (в т.ч. пед. работников) не может быть меньше суммы ((п.п.2.1.5. а) (в т.ч. пед. работников)+п.п.2.1.5. б) (в т.ч. пед. работников))!")</f>
        <v>0</v>
      </c>
      <c r="K70" s="73"/>
      <c r="L70" s="73"/>
    </row>
    <row r="71" spans="1:8" ht="15">
      <c r="A71" s="216" t="s">
        <v>549</v>
      </c>
      <c r="B71" s="247"/>
      <c r="C71" s="4" t="s">
        <v>588</v>
      </c>
      <c r="D71" s="25"/>
      <c r="E71" s="20"/>
      <c r="F71" s="205">
        <f t="shared" si="4"/>
        <v>0</v>
      </c>
      <c r="G71" s="206" t="str">
        <f t="shared" si="5"/>
        <v>Не заполнено</v>
      </c>
      <c r="H71" s="207">
        <f>IF(E71-(E207+E213)&gt;=0,,"'НЕПРАВИЛЬНО! п.п.1.2.4. a) (их них: молодежи из пед. раб.) не может быть меньше суммы ((п.п.2.1.5. а) (из них: молодежи из пед. раб.)+п.п.2.1.5. б) (из них: молодежи из пед.раб.))!")</f>
        <v>0</v>
      </c>
    </row>
    <row r="72" spans="1:8" ht="15.75" thickBot="1">
      <c r="A72" s="216" t="s">
        <v>550</v>
      </c>
      <c r="B72" s="247"/>
      <c r="C72" s="35" t="s">
        <v>167</v>
      </c>
      <c r="D72" s="25"/>
      <c r="E72" s="71"/>
      <c r="F72" s="205">
        <f t="shared" si="4"/>
        <v>0</v>
      </c>
      <c r="G72" s="206" t="str">
        <f t="shared" si="5"/>
        <v>Не заполнено</v>
      </c>
      <c r="H72" s="207">
        <f>IF(E72-(E208+E216)&gt;=0,,"'НЕПРАВИЛЬНО! п.п.1.2.4. б) (всего обуч.) не может быть меньше суммы ((п.п.2.1.5. а) (в них: обуч.)+п.п.2.1.5. в) (в них: чл. Профсоюза))!")</f>
        <v>0</v>
      </c>
    </row>
    <row r="73" spans="1:9" s="118" customFormat="1" ht="16.5" thickBot="1">
      <c r="A73" s="44" t="s">
        <v>5</v>
      </c>
      <c r="B73" s="268" t="s">
        <v>223</v>
      </c>
      <c r="C73" s="269"/>
      <c r="D73" s="127"/>
      <c r="E73" s="117"/>
      <c r="F73" s="205">
        <f t="shared" si="4"/>
        <v>0</v>
      </c>
      <c r="G73" s="206" t="str">
        <f t="shared" si="5"/>
        <v>Не заполнено</v>
      </c>
      <c r="H73" s="207">
        <f>IF(E73-E20&lt;=0,,"'НЕПРАВИЛЬНО! п.п.1.2.5. не может быть больше п.п.1.1.5. !")</f>
        <v>0</v>
      </c>
      <c r="I73"/>
    </row>
    <row r="74" spans="1:8" ht="15">
      <c r="A74" s="216" t="s">
        <v>529</v>
      </c>
      <c r="B74" s="247" t="s">
        <v>123</v>
      </c>
      <c r="C74" s="55" t="s">
        <v>125</v>
      </c>
      <c r="D74" s="128" t="s">
        <v>251</v>
      </c>
      <c r="E74" s="202"/>
      <c r="F74" s="205">
        <f t="shared" si="4"/>
        <v>0</v>
      </c>
      <c r="G74" s="206" t="str">
        <f t="shared" si="5"/>
        <v>Не заполнено</v>
      </c>
      <c r="H74" s="207">
        <f>IF(E74-E218&gt;=0,,"'НЕПРАВИЛЬНО! п.п.1.2.5. (в них: работающих) не может быть меньше п.п.2.1.6. (в них: чл. Профсоюза)!")</f>
        <v>0</v>
      </c>
    </row>
    <row r="75" spans="1:8" ht="15">
      <c r="A75" s="216" t="s">
        <v>530</v>
      </c>
      <c r="B75" s="247"/>
      <c r="C75" s="4" t="s">
        <v>206</v>
      </c>
      <c r="D75" s="25"/>
      <c r="E75" s="20"/>
      <c r="F75" s="205">
        <f t="shared" si="4"/>
        <v>0</v>
      </c>
      <c r="G75" s="206" t="str">
        <f t="shared" si="5"/>
        <v>Не заполнено</v>
      </c>
      <c r="H75" s="207">
        <f>IF(E75-E219&gt;=0,,"'НЕПРАВИЛЬНО! п.п.1.2.5. (в т.ч.: пед. работников) не может быть меньше п.п.2.1.6. (в т.ч.: пед. работников)!")</f>
        <v>0</v>
      </c>
    </row>
    <row r="76" spans="1:8" ht="15.75" thickBot="1">
      <c r="A76" s="216" t="s">
        <v>531</v>
      </c>
      <c r="B76" s="247"/>
      <c r="C76" s="4" t="s">
        <v>588</v>
      </c>
      <c r="D76" s="25"/>
      <c r="E76" s="21"/>
      <c r="F76" s="205">
        <f t="shared" si="4"/>
        <v>0</v>
      </c>
      <c r="G76" s="206" t="str">
        <f t="shared" si="5"/>
        <v>Не заполнено</v>
      </c>
      <c r="H76" s="207">
        <f>IF(E76-E220&gt;=0,,"'НЕПРАВИЛЬНО! п.п.1.2.5. (из них: молодежи из пед. раб.) не может быть меньше п.п.2.1.6. (из них: молодежи из пед. раб.)!")</f>
        <v>0</v>
      </c>
    </row>
    <row r="77" spans="1:9" s="118" customFormat="1" ht="16.5" thickBot="1">
      <c r="A77" s="44" t="s">
        <v>6</v>
      </c>
      <c r="B77" s="268" t="s">
        <v>63</v>
      </c>
      <c r="C77" s="269"/>
      <c r="D77" s="127"/>
      <c r="E77" s="117"/>
      <c r="F77" s="205">
        <f t="shared" si="4"/>
        <v>0</v>
      </c>
      <c r="G77" s="206" t="str">
        <f t="shared" si="5"/>
        <v>Не заполнено</v>
      </c>
      <c r="H77" s="207">
        <f>IF(E77-E21&lt;=0,,"'НЕПРАВИЛЬНО! п.п.1.2.6. не может быть больше п.п.1.1.6.!")</f>
        <v>0</v>
      </c>
      <c r="I77"/>
    </row>
    <row r="78" spans="1:8" ht="15">
      <c r="A78" s="216" t="s">
        <v>532</v>
      </c>
      <c r="B78" s="247" t="s">
        <v>123</v>
      </c>
      <c r="C78" s="55" t="s">
        <v>125</v>
      </c>
      <c r="D78" s="128" t="s">
        <v>251</v>
      </c>
      <c r="E78" s="202"/>
      <c r="F78" s="205">
        <f t="shared" si="4"/>
        <v>0</v>
      </c>
      <c r="G78" s="206" t="str">
        <f t="shared" si="5"/>
        <v>Не заполнено</v>
      </c>
      <c r="H78" s="207">
        <f>IF(E78-E223&gt;=0,,"'НЕПРАВИЛЬНО! п.п.1.2.6. (в них: работающих) не может быть меньше п.п.2.1.7. (в них: чл. Профсоюза)!")</f>
        <v>0</v>
      </c>
    </row>
    <row r="79" spans="1:8" ht="15">
      <c r="A79" s="216" t="s">
        <v>533</v>
      </c>
      <c r="B79" s="247"/>
      <c r="C79" s="4" t="s">
        <v>150</v>
      </c>
      <c r="D79" s="27"/>
      <c r="E79" s="20"/>
      <c r="F79" s="205">
        <f t="shared" si="4"/>
        <v>0</v>
      </c>
      <c r="G79" s="206" t="str">
        <f t="shared" si="5"/>
        <v>Не заполнено</v>
      </c>
      <c r="H79" s="207">
        <f>IF(E79-E224&gt;=0,,"'НЕПРАВИЛЬНО! п.п.1.2.6. (в т.ч.: ППС) не может быть меньше п.п.2.1.7. (в т.ч.: ППС)!")</f>
        <v>0</v>
      </c>
    </row>
    <row r="80" spans="1:8" ht="15.75" thickBot="1">
      <c r="A80" s="216" t="s">
        <v>534</v>
      </c>
      <c r="B80" s="247"/>
      <c r="C80" s="4" t="s">
        <v>588</v>
      </c>
      <c r="D80" s="27"/>
      <c r="E80" s="21"/>
      <c r="F80" s="205">
        <f t="shared" si="4"/>
        <v>0</v>
      </c>
      <c r="G80" s="206" t="str">
        <f t="shared" si="5"/>
        <v>Не заполнено</v>
      </c>
      <c r="H80" s="207">
        <f>IF(E80-E225&gt;=0,,"'НЕПРАВИЛЬНО! п.п.1.2.6.(из них: молодежи из ППС) не может быть меньше п.п.2.1.7. (из них: молодежи из ППС)!")</f>
        <v>0</v>
      </c>
    </row>
    <row r="81" spans="1:9" s="118" customFormat="1" ht="16.5" thickBot="1">
      <c r="A81" s="44" t="s">
        <v>7</v>
      </c>
      <c r="B81" s="268" t="s">
        <v>64</v>
      </c>
      <c r="C81" s="269"/>
      <c r="D81" s="127"/>
      <c r="E81" s="117"/>
      <c r="F81" s="205">
        <f t="shared" si="4"/>
        <v>0</v>
      </c>
      <c r="G81" s="206" t="str">
        <f t="shared" si="5"/>
        <v>Не заполнено</v>
      </c>
      <c r="H81" s="207">
        <f>IF(E81-E22&lt;=0,,"'НЕПРАВИЛЬНО! п.п.1.2.7. не может быть больше п.п.1.1.7.!")</f>
        <v>0</v>
      </c>
      <c r="I81"/>
    </row>
    <row r="82" spans="1:8" ht="15">
      <c r="A82" s="216" t="s">
        <v>535</v>
      </c>
      <c r="B82" s="247" t="s">
        <v>123</v>
      </c>
      <c r="C82" s="55" t="s">
        <v>125</v>
      </c>
      <c r="D82" s="128" t="s">
        <v>251</v>
      </c>
      <c r="E82" s="85"/>
      <c r="F82" s="205">
        <f t="shared" si="4"/>
        <v>0</v>
      </c>
      <c r="G82" s="206" t="str">
        <f t="shared" si="5"/>
        <v>Не заполнено</v>
      </c>
      <c r="H82" s="207">
        <f>IF(E82-E228&gt;=0,,"'НЕПРАВИЛЬНО! п.п.1.2.7. (в них: работающих) не может быть меньше п.п.2.1.8. (в них: чл. Профсоюза)!")</f>
        <v>0</v>
      </c>
    </row>
    <row r="83" spans="1:8" ht="15">
      <c r="A83" s="216" t="s">
        <v>536</v>
      </c>
      <c r="B83" s="247"/>
      <c r="C83" s="4" t="s">
        <v>208</v>
      </c>
      <c r="D83" s="28"/>
      <c r="E83" s="12"/>
      <c r="F83" s="205">
        <f t="shared" si="4"/>
        <v>0</v>
      </c>
      <c r="G83" s="206" t="str">
        <f t="shared" si="5"/>
        <v>Не заполнено</v>
      </c>
      <c r="H83" s="207">
        <f>IF(E83-E229&gt;=0,,"'НЕПРАВИЛЬНО! п.п.1.2.7. (в т.ч.: ППС) не может быть меньше п.п.2.1.8. (в т.ч.: ППС)!")</f>
        <v>0</v>
      </c>
    </row>
    <row r="84" spans="1:8" ht="15.75" thickBot="1">
      <c r="A84" s="216" t="s">
        <v>537</v>
      </c>
      <c r="B84" s="247"/>
      <c r="C84" s="4" t="s">
        <v>589</v>
      </c>
      <c r="D84" s="29"/>
      <c r="E84" s="14"/>
      <c r="F84" s="205">
        <f t="shared" si="4"/>
        <v>0</v>
      </c>
      <c r="G84" s="206" t="str">
        <f t="shared" si="5"/>
        <v>Не заполнено</v>
      </c>
      <c r="H84" s="207">
        <f>IF(E84-E230&gt;=0,,"'НЕПРАВИЛЬНО! п.п.1.2.7. (из них: молодежи из ППС) не может быть меньше п.п.2.1.8. (из них: молодежи из ППС)!")</f>
        <v>0</v>
      </c>
    </row>
    <row r="85" spans="1:9" s="123" customFormat="1" ht="17.25" customHeight="1" thickBot="1">
      <c r="A85" s="44" t="s">
        <v>8</v>
      </c>
      <c r="B85" s="268" t="s">
        <v>638</v>
      </c>
      <c r="C85" s="269"/>
      <c r="D85" s="130"/>
      <c r="E85" s="117"/>
      <c r="F85" s="205">
        <f t="shared" si="4"/>
        <v>0</v>
      </c>
      <c r="G85" s="206" t="str">
        <f t="shared" si="5"/>
        <v>Не заполнено</v>
      </c>
      <c r="H85" s="207">
        <f>IF(E85-E23&lt;=0,,"'НЕПРАВИЛЬНО! п.п.1.2.8. не может быть больше п.п.1.1.8.!")</f>
        <v>0</v>
      </c>
      <c r="I85"/>
    </row>
    <row r="86" spans="1:8" ht="15">
      <c r="A86" s="216" t="s">
        <v>538</v>
      </c>
      <c r="B86" s="247" t="s">
        <v>123</v>
      </c>
      <c r="C86" s="55" t="s">
        <v>195</v>
      </c>
      <c r="D86" s="128" t="s">
        <v>251</v>
      </c>
      <c r="E86" s="85"/>
      <c r="F86" s="205">
        <f t="shared" si="4"/>
        <v>0</v>
      </c>
      <c r="G86" s="206" t="str">
        <f t="shared" si="5"/>
        <v>Не заполнено</v>
      </c>
      <c r="H86" s="207">
        <f>IF(E86-E233&gt;=0,,"'НЕПРАВИЛЬНО! п.п.1.2.8. (в них: работающих) не может быть меньше п.п.2.1.9. (в них: чл. Профсоюза)!")</f>
        <v>0</v>
      </c>
    </row>
    <row r="87" spans="1:8" ht="15">
      <c r="A87" s="216" t="s">
        <v>539</v>
      </c>
      <c r="B87" s="247"/>
      <c r="C87" s="4" t="s">
        <v>207</v>
      </c>
      <c r="D87" s="69"/>
      <c r="E87" s="12"/>
      <c r="F87" s="205">
        <f t="shared" si="4"/>
        <v>0</v>
      </c>
      <c r="G87" s="206" t="str">
        <f t="shared" si="5"/>
        <v>Не заполнено</v>
      </c>
      <c r="H87" s="207">
        <f>IF(E87-E234&gt;=0,,"'НЕПРАВИЛЬНО! п.п.1.2.8. (в т.ч.: пед. раб.) не может быть меньше п.п.2.1.9. (в т.ч.: пед. раб.)!")</f>
        <v>0</v>
      </c>
    </row>
    <row r="88" spans="1:8" ht="15.75" thickBot="1">
      <c r="A88" s="216" t="s">
        <v>540</v>
      </c>
      <c r="B88" s="247"/>
      <c r="C88" s="4" t="s">
        <v>588</v>
      </c>
      <c r="D88" s="69"/>
      <c r="E88" s="13"/>
      <c r="F88" s="205">
        <f t="shared" si="4"/>
        <v>0</v>
      </c>
      <c r="G88" s="206" t="str">
        <f t="shared" si="5"/>
        <v>Не заполнено</v>
      </c>
      <c r="H88" s="207">
        <f>IF(E88-E235&gt;=0,,"'НЕПРАВИЛЬНО! п.п.1.2.8. (из них: молодежи из пед. раб.) не может быть меньше п.п.2.1.9. (из них: молодежи из пед. раб.)!")</f>
        <v>0</v>
      </c>
    </row>
    <row r="89" spans="1:9" s="234" customFormat="1" ht="30" customHeight="1" thickBot="1">
      <c r="A89" s="231" t="s">
        <v>135</v>
      </c>
      <c r="B89" s="306" t="s">
        <v>625</v>
      </c>
      <c r="C89" s="307"/>
      <c r="D89" s="232"/>
      <c r="E89" s="233">
        <f>E27+E31+E35+E50+E64+E74+E78+E82+E86</f>
        <v>0</v>
      </c>
      <c r="I89" s="235"/>
    </row>
    <row r="90" spans="1:5" ht="12.75" customHeight="1">
      <c r="A90" s="217" t="s">
        <v>525</v>
      </c>
      <c r="B90" s="247" t="s">
        <v>15</v>
      </c>
      <c r="C90" s="55" t="s">
        <v>124</v>
      </c>
      <c r="D90" s="25"/>
      <c r="E90" s="11">
        <f>E28+E32+E36+E51+E65+E75+E87</f>
        <v>0</v>
      </c>
    </row>
    <row r="91" spans="1:5" ht="13.5" customHeight="1">
      <c r="A91" s="217" t="s">
        <v>526</v>
      </c>
      <c r="B91" s="247"/>
      <c r="C91" s="4" t="s">
        <v>590</v>
      </c>
      <c r="D91" s="25"/>
      <c r="E91" s="11">
        <f>E29+E33+E37+E52+E66+E76+E88</f>
        <v>0</v>
      </c>
    </row>
    <row r="92" spans="1:5" ht="13.5" customHeight="1">
      <c r="A92" s="217" t="s">
        <v>527</v>
      </c>
      <c r="B92" s="247"/>
      <c r="C92" s="55" t="s">
        <v>126</v>
      </c>
      <c r="D92" s="25"/>
      <c r="E92" s="10">
        <f>E38+E53+E79+E83</f>
        <v>0</v>
      </c>
    </row>
    <row r="93" spans="1:5" ht="13.5" customHeight="1" thickBot="1">
      <c r="A93" s="217" t="s">
        <v>528</v>
      </c>
      <c r="B93" s="247"/>
      <c r="C93" s="4" t="s">
        <v>590</v>
      </c>
      <c r="D93" s="25"/>
      <c r="E93" s="10">
        <f>E39+E54+E80+E84</f>
        <v>0</v>
      </c>
    </row>
    <row r="94" spans="1:5" ht="18" customHeight="1" thickBot="1">
      <c r="A94" s="66" t="s">
        <v>136</v>
      </c>
      <c r="B94" s="303" t="s">
        <v>624</v>
      </c>
      <c r="C94" s="304"/>
      <c r="D94" s="305"/>
      <c r="E94" s="34">
        <f>E40+E55+E67</f>
        <v>0</v>
      </c>
    </row>
    <row r="95" spans="1:5" ht="19.5" thickBot="1">
      <c r="A95" s="50" t="s">
        <v>9</v>
      </c>
      <c r="B95" s="308" t="s">
        <v>641</v>
      </c>
      <c r="C95" s="270"/>
      <c r="D95" s="104"/>
      <c r="E95" s="32" t="s">
        <v>53</v>
      </c>
    </row>
    <row r="96" spans="1:8" ht="16.5" thickBot="1">
      <c r="A96" s="68" t="s">
        <v>137</v>
      </c>
      <c r="B96" s="289" t="s">
        <v>642</v>
      </c>
      <c r="C96" s="269"/>
      <c r="D96" s="132" t="s">
        <v>134</v>
      </c>
      <c r="E96" s="6">
        <f>E101+E106+E111+E149+E187+E217+E222+E227+E232</f>
        <v>0</v>
      </c>
      <c r="F96"/>
      <c r="G96" s="206"/>
      <c r="H96" s="207">
        <f>IF(E96-(E333+E396+E403+E409+E416+E422)=0,,"'НЕПРАВИЛЬНО! НЕ РАВНО сумме (п.п.4.1.1.1.+п.п.5.4.1.+п.п.5.5.1.+п.п.5.6.1.+п.п.5.7.1.+п.п.5.8.1.)!")</f>
        <v>0</v>
      </c>
    </row>
    <row r="97" spans="1:8" ht="14.25" customHeight="1" thickBot="1">
      <c r="A97" s="47"/>
      <c r="B97" s="247" t="s">
        <v>123</v>
      </c>
      <c r="C97" s="22"/>
      <c r="D97" s="159"/>
      <c r="E97" s="31" t="s">
        <v>53</v>
      </c>
      <c r="F97"/>
      <c r="G97" s="206"/>
      <c r="H97"/>
    </row>
    <row r="98" spans="1:10" ht="14.25" customHeight="1">
      <c r="A98" s="44" t="s">
        <v>643</v>
      </c>
      <c r="B98" s="259" t="s">
        <v>179</v>
      </c>
      <c r="C98" s="257" t="s">
        <v>653</v>
      </c>
      <c r="D98" s="159"/>
      <c r="E98" s="85"/>
      <c r="F98" s="205">
        <f>COUNTA(E98)</f>
        <v>0</v>
      </c>
      <c r="G98" s="206" t="str">
        <f>IF(F98=1," ","Не заполнено")</f>
        <v>Не заполнено</v>
      </c>
      <c r="H98" s="207">
        <f>IF(E98-E341=0,,"'НЕПРАВИЛЬНО! НЕ РАВНО п.п.4.1.1.8.!")</f>
        <v>0</v>
      </c>
      <c r="J98"/>
    </row>
    <row r="99" spans="1:10" ht="14.25" customHeight="1" thickBot="1">
      <c r="A99" s="44" t="s">
        <v>644</v>
      </c>
      <c r="B99" s="259" t="s">
        <v>179</v>
      </c>
      <c r="C99" s="258" t="s">
        <v>654</v>
      </c>
      <c r="D99" s="133"/>
      <c r="E99" s="13"/>
      <c r="F99" s="205">
        <f>COUNTA(E99)</f>
        <v>0</v>
      </c>
      <c r="G99" s="206" t="str">
        <f>IF(F99=1," ","Не заполнено")</f>
        <v>Не заполнено</v>
      </c>
      <c r="H99" s="207">
        <f>IF(E99-E343=0,,"'НЕПРАВИЛЬНО! НЕ РАВНО п.п.4.1.1.10.!")</f>
        <v>0</v>
      </c>
      <c r="J99"/>
    </row>
    <row r="100" spans="1:8" ht="15" customHeight="1" thickBot="1">
      <c r="A100" s="44" t="s">
        <v>10</v>
      </c>
      <c r="B100" s="286" t="s">
        <v>645</v>
      </c>
      <c r="C100" s="270"/>
      <c r="D100" s="134"/>
      <c r="E100" s="17"/>
      <c r="F100" s="205">
        <f aca="true" t="shared" si="6" ref="F100:F109">COUNTA(E100)</f>
        <v>0</v>
      </c>
      <c r="G100" s="206" t="str">
        <f>IF(F100=1," ","Не заполнено")</f>
        <v>Не заполнено</v>
      </c>
      <c r="H100"/>
    </row>
    <row r="101" spans="1:8" ht="17.25" thickBot="1">
      <c r="A101" s="44" t="s">
        <v>11</v>
      </c>
      <c r="B101" s="271" t="s">
        <v>591</v>
      </c>
      <c r="C101" s="270"/>
      <c r="D101" s="134"/>
      <c r="E101" s="17"/>
      <c r="F101" s="205">
        <f t="shared" si="6"/>
        <v>0</v>
      </c>
      <c r="G101" s="206" t="str">
        <f>IF(F101=1," ","Не заполнено")</f>
        <v>Не заполнено</v>
      </c>
      <c r="H101"/>
    </row>
    <row r="102" spans="1:8" ht="15">
      <c r="A102" s="214" t="s">
        <v>174</v>
      </c>
      <c r="B102" s="284" t="s">
        <v>626</v>
      </c>
      <c r="C102" s="285"/>
      <c r="D102" s="130"/>
      <c r="E102" s="85"/>
      <c r="F102" s="205">
        <f t="shared" si="6"/>
        <v>0</v>
      </c>
      <c r="G102" s="206" t="str">
        <f>IF(F102=1," ","Не заполнено")</f>
        <v>Не заполнено</v>
      </c>
      <c r="H102" s="207">
        <f>IF(E102-E27&lt;=0,,"'НЕПРАВИЛЬНО! п.п.2.1.2. (в них: чл. Профсоюза) не может быть больше п.п.1.2.1. (в них: работающих)!")</f>
        <v>0</v>
      </c>
    </row>
    <row r="103" spans="1:8" ht="15">
      <c r="A103" s="214" t="s">
        <v>518</v>
      </c>
      <c r="B103" s="247"/>
      <c r="C103" s="4" t="s">
        <v>55</v>
      </c>
      <c r="D103" s="135"/>
      <c r="E103" s="12"/>
      <c r="F103" s="205">
        <f t="shared" si="6"/>
        <v>0</v>
      </c>
      <c r="G103" s="206" t="str">
        <f>IF(F103=1," ","Не заполнено")</f>
        <v>Не заполнено</v>
      </c>
      <c r="H103" s="207">
        <f>IF(E103-E28&lt;=0,,"'НЕПРАВИЛЬНО! п.п.2.1.2. (в т.ч.: пед. работников) не может быть больше п.п.1.2.1. (в т.ч.: пед. работников)!")</f>
        <v>0</v>
      </c>
    </row>
    <row r="104" spans="1:8" ht="15">
      <c r="A104" s="214" t="s">
        <v>519</v>
      </c>
      <c r="B104" s="247"/>
      <c r="C104" s="4" t="s">
        <v>592</v>
      </c>
      <c r="D104" s="130"/>
      <c r="E104" s="12"/>
      <c r="F104" s="205">
        <f t="shared" si="6"/>
        <v>0</v>
      </c>
      <c r="G104" s="206" t="str">
        <f>IF(F104=1," ","Не заполнено")</f>
        <v>Не заполнено</v>
      </c>
      <c r="H104" s="207">
        <f>IF(E104-E29&lt;=0,,"'НЕПРАВИЛЬНО! п.п.2.1.2. (из них: молодежи из пед. раб.) не может быть больше п.п.1.2.1. (из них: молодежи из пед. раб.)!")</f>
        <v>0</v>
      </c>
    </row>
    <row r="105" spans="1:8" ht="15.75" thickBot="1">
      <c r="A105" s="214" t="s">
        <v>520</v>
      </c>
      <c r="B105" s="98" t="s">
        <v>242</v>
      </c>
      <c r="C105" s="248"/>
      <c r="D105" s="136"/>
      <c r="E105" s="12"/>
      <c r="F105" s="205">
        <f t="shared" si="6"/>
        <v>0</v>
      </c>
      <c r="G105" s="206" t="str">
        <f aca="true" t="shared" si="7" ref="G105:G110">IF(F105=1," ","Не заполнено")</f>
        <v>Не заполнено</v>
      </c>
      <c r="H105" s="207"/>
    </row>
    <row r="106" spans="1:8" ht="17.25" thickBot="1">
      <c r="A106" s="44" t="s">
        <v>12</v>
      </c>
      <c r="B106" s="271" t="s">
        <v>593</v>
      </c>
      <c r="C106" s="270"/>
      <c r="D106" s="137"/>
      <c r="E106" s="17"/>
      <c r="F106" s="205">
        <f t="shared" si="6"/>
        <v>0</v>
      </c>
      <c r="G106" s="206" t="str">
        <f t="shared" si="7"/>
        <v>Не заполнено</v>
      </c>
      <c r="H106"/>
    </row>
    <row r="107" spans="1:8" ht="15">
      <c r="A107" s="216" t="s">
        <v>521</v>
      </c>
      <c r="B107" s="284" t="s">
        <v>626</v>
      </c>
      <c r="C107" s="285"/>
      <c r="D107" s="138"/>
      <c r="E107" s="15"/>
      <c r="F107" s="205">
        <f t="shared" si="6"/>
        <v>0</v>
      </c>
      <c r="G107" s="206" t="str">
        <f t="shared" si="7"/>
        <v>Не заполнено</v>
      </c>
      <c r="H107" s="207">
        <f>IF(E107-E31&lt;=0,,"'НЕПРАВИЛЬНО! п.п.2.1.3. (в них: чл. Профсоюза ) не может быть больше п.п.1.2.2. (в них: работающих)!")</f>
        <v>0</v>
      </c>
    </row>
    <row r="108" spans="1:8" ht="15">
      <c r="A108" s="216" t="s">
        <v>522</v>
      </c>
      <c r="B108" s="247"/>
      <c r="C108" s="4" t="s">
        <v>55</v>
      </c>
      <c r="D108" s="139"/>
      <c r="E108" s="12"/>
      <c r="F108" s="205">
        <f t="shared" si="6"/>
        <v>0</v>
      </c>
      <c r="G108" s="206" t="str">
        <f t="shared" si="7"/>
        <v>Не заполнено</v>
      </c>
      <c r="H108" s="207">
        <f>IF(E108-E32&lt;=0,,"'НЕПРАВИЛЬНО! п.п.2.1.3. (в т.ч.: пед. работников) не может быть больше п.п.1.2.2. (в т.ч.: пед. работников)!")</f>
        <v>0</v>
      </c>
    </row>
    <row r="109" spans="1:8" ht="15">
      <c r="A109" s="216" t="s">
        <v>523</v>
      </c>
      <c r="B109" s="9"/>
      <c r="C109" s="4" t="s">
        <v>592</v>
      </c>
      <c r="D109" s="140"/>
      <c r="E109" s="12"/>
      <c r="F109" s="205">
        <f t="shared" si="6"/>
        <v>0</v>
      </c>
      <c r="G109" s="206" t="str">
        <f t="shared" si="7"/>
        <v>Не заполнено</v>
      </c>
      <c r="H109" s="207">
        <f>IF(E109-E33&lt;=0,,"'НЕПРАВИЛЬНО! п.п.2.1.3. (из них: молодежи из пед. раб.) не может быть больше п.п.1.2.2. (из них: молодежи из пед. раб.)!")</f>
        <v>0</v>
      </c>
    </row>
    <row r="110" spans="1:8" ht="15">
      <c r="A110" s="216" t="s">
        <v>524</v>
      </c>
      <c r="B110" s="98" t="s">
        <v>242</v>
      </c>
      <c r="C110" s="248"/>
      <c r="D110" s="139"/>
      <c r="E110" s="99"/>
      <c r="F110" s="205">
        <f>COUNTA(E110)</f>
        <v>0</v>
      </c>
      <c r="G110" s="206" t="str">
        <f t="shared" si="7"/>
        <v>Не заполнено</v>
      </c>
      <c r="H110" s="207"/>
    </row>
    <row r="111" spans="1:8" ht="17.25" thickBot="1">
      <c r="A111" s="44" t="s">
        <v>13</v>
      </c>
      <c r="B111" s="271" t="s">
        <v>594</v>
      </c>
      <c r="C111" s="270"/>
      <c r="D111" s="141" t="s">
        <v>65</v>
      </c>
      <c r="E111" s="97">
        <f>E113+E121+E128</f>
        <v>0</v>
      </c>
      <c r="F111" s="205"/>
      <c r="G111" s="206"/>
      <c r="H111" s="208"/>
    </row>
    <row r="112" spans="1:8" ht="15.75" thickBot="1">
      <c r="A112" s="44"/>
      <c r="B112" s="247" t="s">
        <v>123</v>
      </c>
      <c r="C112" s="249"/>
      <c r="D112" s="142"/>
      <c r="E112" s="40" t="s">
        <v>53</v>
      </c>
      <c r="F112"/>
      <c r="G112" s="206"/>
      <c r="H112"/>
    </row>
    <row r="113" spans="1:8" ht="16.5" thickBot="1">
      <c r="A113" s="216" t="s">
        <v>483</v>
      </c>
      <c r="B113" s="240" t="s">
        <v>89</v>
      </c>
      <c r="C113" s="244"/>
      <c r="D113" s="143"/>
      <c r="E113" s="17"/>
      <c r="F113" s="205">
        <f aca="true" t="shared" si="8" ref="F113:F129">COUNTA(E113)</f>
        <v>0</v>
      </c>
      <c r="G113" s="206" t="str">
        <f aca="true" t="shared" si="9" ref="G113:G129">IF(F113=1," ","Не заполнено")</f>
        <v>Не заполнено</v>
      </c>
      <c r="H113"/>
    </row>
    <row r="114" spans="1:8" ht="15">
      <c r="A114" s="216" t="s">
        <v>484</v>
      </c>
      <c r="B114" s="247" t="s">
        <v>123</v>
      </c>
      <c r="C114" s="55" t="s">
        <v>627</v>
      </c>
      <c r="D114" s="144"/>
      <c r="E114" s="15"/>
      <c r="F114" s="205">
        <f t="shared" si="8"/>
        <v>0</v>
      </c>
      <c r="G114" s="206" t="str">
        <f t="shared" si="9"/>
        <v>Не заполнено</v>
      </c>
      <c r="H114" s="207">
        <f>IF((E114+E122)-E35&lt;=0,,"'НЕПРАВИЛЬНО! Cумма ((п.п.2.1.4. а) (в них: чл. Профсоюза работающих)+п.п.2.1.4. б) (в них: чл. Профсоюза работающих)) не может быть больше п.п.1.2.3. a) (всего работающих)!)")</f>
        <v>0</v>
      </c>
    </row>
    <row r="115" spans="1:8" ht="15">
      <c r="A115" s="216" t="s">
        <v>485</v>
      </c>
      <c r="B115" s="247"/>
      <c r="C115" s="4" t="s">
        <v>207</v>
      </c>
      <c r="D115" s="25"/>
      <c r="E115" s="19"/>
      <c r="F115" s="205">
        <f t="shared" si="8"/>
        <v>0</v>
      </c>
      <c r="G115" s="206" t="str">
        <f t="shared" si="9"/>
        <v>Не заполнено</v>
      </c>
      <c r="H115" s="207">
        <f>IF((E115+E123)-E36&lt;=0,,"'НЕПРАВИЛЬНО! Cумма ((п.п.2.1.4. а) (в т.ч.: пед. работников)+п.п.2.1.4. б) (в т.ч.: пед. работников)) не может быть больше п.п.1.2.3.  a) (в т.ч.: пед. работников)!)")</f>
        <v>0</v>
      </c>
    </row>
    <row r="116" spans="1:8" ht="15">
      <c r="A116" s="216" t="s">
        <v>486</v>
      </c>
      <c r="B116" s="247"/>
      <c r="C116" s="4" t="s">
        <v>595</v>
      </c>
      <c r="D116" s="27"/>
      <c r="E116" s="20"/>
      <c r="F116" s="205">
        <f t="shared" si="8"/>
        <v>0</v>
      </c>
      <c r="G116" s="206" t="str">
        <f t="shared" si="9"/>
        <v>Не заполнено</v>
      </c>
      <c r="H116" s="207">
        <f>IF((E116+E124)-E37&lt;=0,,"'НЕПРАВИЛЬНО! Cумма ((п.п.2.1.4. а) (из них: молодежи из пед. раб.)+п.п.2.1.4. б) (из них: молодежи из пед. раб.)) не может быть больше п.п.1.2.3.  a) (из них: молодежи из пед. раб.)!)")</f>
        <v>0</v>
      </c>
    </row>
    <row r="117" spans="1:8" ht="15">
      <c r="A117" s="216" t="s">
        <v>487</v>
      </c>
      <c r="B117" s="247"/>
      <c r="C117" s="4" t="s">
        <v>209</v>
      </c>
      <c r="D117" s="145"/>
      <c r="E117" s="53"/>
      <c r="F117" s="205">
        <f t="shared" si="8"/>
        <v>0</v>
      </c>
      <c r="G117" s="206" t="str">
        <f t="shared" si="9"/>
        <v>Не заполнено</v>
      </c>
      <c r="H117" s="207">
        <f>IF((E117+E125)-E38&lt;=0,,"'НЕПРАВИЛЬНО! Cумма ((п.п.2.1.4. а) (в т.ч.: - ППС)+п.п.2.1.4. б) (в т.ч.: - ППС)) не может быть больше п.п.1.2.3. a) (в т.ч.: - ППС)!)")</f>
        <v>0</v>
      </c>
    </row>
    <row r="118" spans="1:8" ht="15">
      <c r="A118" s="216" t="s">
        <v>488</v>
      </c>
      <c r="B118" s="247"/>
      <c r="C118" s="4" t="s">
        <v>595</v>
      </c>
      <c r="D118" s="144"/>
      <c r="E118" s="12"/>
      <c r="F118" s="205">
        <f>COUNTA(E118)</f>
        <v>0</v>
      </c>
      <c r="G118" s="206" t="str">
        <f t="shared" si="9"/>
        <v>Не заполнено</v>
      </c>
      <c r="H118" s="207">
        <f>IF((E118+E126)-E39&lt;=0,,"'НЕПРАВИЛЬНО! Cумма ((п.п.2.1.4. а) (из них: молодежи из ППС)+п.п.2.1.4. б) (из них: молодежи из ППС)) не может быть больше п.п.1.2.3. a) (из них: молодежи из ППС)!)")</f>
        <v>0</v>
      </c>
    </row>
    <row r="119" spans="1:8" ht="14.25" customHeight="1">
      <c r="A119" s="216" t="s">
        <v>489</v>
      </c>
      <c r="B119" s="247"/>
      <c r="C119" s="35" t="s">
        <v>240</v>
      </c>
      <c r="D119" s="144"/>
      <c r="E119" s="14"/>
      <c r="F119" s="205">
        <f t="shared" si="8"/>
        <v>0</v>
      </c>
      <c r="G119" s="206" t="str">
        <f t="shared" si="9"/>
        <v>Не заполнено</v>
      </c>
      <c r="H119" s="207">
        <f>IF((E119+E129)-E40&lt;=0,,"'НЕПРАВИЛЬНО! Cумма ((п.п.2.1.4. а) (в них: обуч.)+п.п.2.1.4. в) (в них: чл. Профсоюза)) не может быть больше п.п.1.2.3. б) (всего обуч.)!)")</f>
        <v>0</v>
      </c>
    </row>
    <row r="120" spans="1:8" ht="14.25" customHeight="1" thickBot="1">
      <c r="A120" s="216" t="s">
        <v>490</v>
      </c>
      <c r="B120" s="98" t="s">
        <v>239</v>
      </c>
      <c r="C120" s="248"/>
      <c r="D120" s="143"/>
      <c r="E120" s="13"/>
      <c r="F120" s="205">
        <f>COUNTA(E120)</f>
        <v>0</v>
      </c>
      <c r="G120" s="206" t="str">
        <f>IF(F120=1," ","Не заполнено")</f>
        <v>Не заполнено</v>
      </c>
      <c r="H120" s="207"/>
    </row>
    <row r="121" spans="1:8" ht="16.5" thickBot="1">
      <c r="A121" s="216" t="s">
        <v>491</v>
      </c>
      <c r="B121" s="268" t="s">
        <v>85</v>
      </c>
      <c r="C121" s="270"/>
      <c r="D121" s="143"/>
      <c r="E121" s="17"/>
      <c r="F121" s="205">
        <f t="shared" si="8"/>
        <v>0</v>
      </c>
      <c r="G121" s="206" t="str">
        <f t="shared" si="9"/>
        <v>Не заполнено</v>
      </c>
      <c r="H121"/>
    </row>
    <row r="122" spans="1:8" ht="15">
      <c r="A122" s="216" t="s">
        <v>492</v>
      </c>
      <c r="B122" s="247" t="s">
        <v>123</v>
      </c>
      <c r="C122" s="245" t="s">
        <v>236</v>
      </c>
      <c r="D122" s="92"/>
      <c r="E122" s="15"/>
      <c r="F122" s="205">
        <f t="shared" si="8"/>
        <v>0</v>
      </c>
      <c r="G122" s="206" t="str">
        <f t="shared" si="9"/>
        <v>Не заполнено</v>
      </c>
      <c r="H122" s="207">
        <f>IF((E122+E114)-E35&lt;=0,,"'НЕПРАВИЛЬНО! Cумма ((п.п.2.1.4. б) (в них: чл. Профсоюза)+п.п.2.1.4. а) (в них: чл. Профсоюза работающих)) не может быть больше п.п.1.2.3.  a) (всего работающих)!)")</f>
        <v>0</v>
      </c>
    </row>
    <row r="123" spans="1:8" ht="15">
      <c r="A123" s="216" t="s">
        <v>493</v>
      </c>
      <c r="B123" s="247"/>
      <c r="C123" s="4" t="s">
        <v>207</v>
      </c>
      <c r="D123" s="25"/>
      <c r="E123" s="19"/>
      <c r="F123" s="205">
        <f>COUNTA(E123)</f>
        <v>0</v>
      </c>
      <c r="G123" s="206" t="str">
        <f>IF(F123=1," ","Не заполнено")</f>
        <v>Не заполнено</v>
      </c>
      <c r="H123" s="207">
        <f>IF((E123+E115)-E36&lt;=0,,"'НЕПРАВИЛЬНО! Cумма ((п.п.2.1.4. б) (в т.ч.пед. работников)+п.п.2.1.4. а) (в т.ч. пед. работников)) не может быть больше п.п.1.2.3. a) (в т.ч. пед. работников)!")</f>
        <v>0</v>
      </c>
    </row>
    <row r="124" spans="1:8" ht="15">
      <c r="A124" s="216" t="s">
        <v>494</v>
      </c>
      <c r="B124" s="247"/>
      <c r="C124" s="4" t="s">
        <v>592</v>
      </c>
      <c r="D124" s="54"/>
      <c r="E124" s="53"/>
      <c r="F124" s="205">
        <f>COUNTA(E124)</f>
        <v>0</v>
      </c>
      <c r="G124" s="206" t="str">
        <f>IF(F124=1," ","Не заполнено")</f>
        <v>Не заполнено</v>
      </c>
      <c r="H124" s="207">
        <f>IF((E124+E116)-E37&lt;=0,,"'НЕПРАВИЛЬНО! Cумма ((п.п.2.1.4. б) (из них: молодежи из пед. раб.)+п.п.2.1.4. а) (из них: молодежи из пед. раб.)) не может быть больше п.п.1.2.3. a) (из них: молодежи из пед. раб.)!")</f>
        <v>0</v>
      </c>
    </row>
    <row r="125" spans="1:8" ht="15">
      <c r="A125" s="216" t="s">
        <v>495</v>
      </c>
      <c r="B125" s="247"/>
      <c r="C125" s="4" t="s">
        <v>209</v>
      </c>
      <c r="D125" s="144"/>
      <c r="E125" s="12"/>
      <c r="F125" s="205">
        <f t="shared" si="8"/>
        <v>0</v>
      </c>
      <c r="G125" s="206" t="str">
        <f t="shared" si="9"/>
        <v>Не заполнено</v>
      </c>
      <c r="H125" s="207">
        <f>IF((E125+E117)-E38&lt;=0,,"'НЕПРАВИЛЬНО! Cумма ((п.п.2.1.4. б) (в т.ч.: - ППС)+п.п.2.1.4. а) (в т.ч.: - ППС)) не может быть больше п.п.1.2.3. a) (в т.ч.: - ППС)!")</f>
        <v>0</v>
      </c>
    </row>
    <row r="126" spans="1:8" ht="15">
      <c r="A126" s="216" t="s">
        <v>496</v>
      </c>
      <c r="B126" s="247"/>
      <c r="C126" s="4" t="s">
        <v>592</v>
      </c>
      <c r="D126" s="146"/>
      <c r="E126" s="14"/>
      <c r="F126" s="205">
        <f>COUNTA(E126)</f>
        <v>0</v>
      </c>
      <c r="G126" s="206" t="str">
        <f t="shared" si="9"/>
        <v>Не заполнено</v>
      </c>
      <c r="H126" s="207">
        <f>IF((E126+E118)-E39&lt;=0,,"'НЕПРАВИЛЬНО! Cумма ((п.п.2.1.4. б) (из них: молодежи из ППС)+п.п.2.1.4. а) (из них: молодежи из ППС)) не может быть больше п.п.1.2.3. a) (из них: молодежи из ППС)!")</f>
        <v>0</v>
      </c>
    </row>
    <row r="127" spans="1:8" ht="15.75" thickBot="1">
      <c r="A127" s="216" t="s">
        <v>497</v>
      </c>
      <c r="B127" s="98" t="s">
        <v>237</v>
      </c>
      <c r="C127" s="245" t="s">
        <v>238</v>
      </c>
      <c r="D127" s="130"/>
      <c r="E127" s="13"/>
      <c r="F127" s="205">
        <f>COUNTA(E127)</f>
        <v>0</v>
      </c>
      <c r="G127" s="206" t="str">
        <f>IF(F127=1," ","Не заполнено")</f>
        <v>Не заполнено</v>
      </c>
      <c r="H127" s="207"/>
    </row>
    <row r="128" spans="1:8" ht="16.5" thickBot="1">
      <c r="A128" s="216" t="s">
        <v>498</v>
      </c>
      <c r="B128" s="268" t="s">
        <v>169</v>
      </c>
      <c r="C128" s="270"/>
      <c r="D128" s="130"/>
      <c r="E128" s="17"/>
      <c r="F128" s="205">
        <f t="shared" si="8"/>
        <v>0</v>
      </c>
      <c r="G128" s="206" t="str">
        <f t="shared" si="9"/>
        <v>Не заполнено</v>
      </c>
      <c r="H128"/>
    </row>
    <row r="129" spans="1:8" ht="15.75" thickBot="1">
      <c r="A129" s="216" t="s">
        <v>499</v>
      </c>
      <c r="B129" s="247" t="s">
        <v>123</v>
      </c>
      <c r="C129" s="55" t="s">
        <v>628</v>
      </c>
      <c r="D129" s="146"/>
      <c r="E129" s="16"/>
      <c r="F129" s="205">
        <f t="shared" si="8"/>
        <v>0</v>
      </c>
      <c r="G129" s="206" t="str">
        <f t="shared" si="9"/>
        <v>Не заполнено</v>
      </c>
      <c r="H129" s="207">
        <f>IF((E129+E119)-E40&lt;=0,,"'НЕПРАВИЛЬНО! Cумма ((п.п.2.1.4. в) (в них: чл. Профсоюза)+п.п.2.1.4. а) (в них.: обуч.)) не может быть больше п.п.1.2.3. a) (всего обуч.)!")</f>
        <v>0</v>
      </c>
    </row>
    <row r="130" spans="1:8" ht="15.75" thickBot="1">
      <c r="A130" s="216" t="s">
        <v>500</v>
      </c>
      <c r="B130" s="300" t="s">
        <v>420</v>
      </c>
      <c r="C130" s="270"/>
      <c r="D130" s="127" t="s">
        <v>65</v>
      </c>
      <c r="E130" s="201">
        <f>SUM(E132+E140+E147)</f>
        <v>0</v>
      </c>
      <c r="F130" s="205"/>
      <c r="G130" s="206"/>
      <c r="H130"/>
    </row>
    <row r="131" spans="1:8" ht="15.75" thickBot="1">
      <c r="A131" s="250"/>
      <c r="B131" s="4" t="s">
        <v>151</v>
      </c>
      <c r="C131" s="55"/>
      <c r="D131" s="146"/>
      <c r="E131" s="61" t="s">
        <v>53</v>
      </c>
      <c r="F131" s="205"/>
      <c r="G131" s="206"/>
      <c r="H131" s="207"/>
    </row>
    <row r="132" spans="1:8" ht="15" thickBot="1">
      <c r="A132" s="216" t="s">
        <v>501</v>
      </c>
      <c r="B132" s="286" t="s">
        <v>89</v>
      </c>
      <c r="C132" s="270"/>
      <c r="D132" s="130"/>
      <c r="E132" s="17"/>
      <c r="F132" s="205">
        <f aca="true" t="shared" si="10" ref="F132:F148">COUNTA(E132)</f>
        <v>0</v>
      </c>
      <c r="G132" s="206" t="str">
        <f aca="true" t="shared" si="11" ref="G132:G148">IF(F132=1," ","Не заполнено")</f>
        <v>Не заполнено</v>
      </c>
      <c r="H132" s="207"/>
    </row>
    <row r="133" spans="1:10" ht="15">
      <c r="A133" s="216" t="s">
        <v>502</v>
      </c>
      <c r="B133" s="272" t="s">
        <v>246</v>
      </c>
      <c r="C133" s="285"/>
      <c r="D133" s="146"/>
      <c r="E133" s="15"/>
      <c r="F133" s="205">
        <f t="shared" si="10"/>
        <v>0</v>
      </c>
      <c r="G133" s="206" t="str">
        <f t="shared" si="11"/>
        <v>Не заполнено</v>
      </c>
      <c r="H133" s="207">
        <f>IF((E133+E141)-E42&lt;=0,,"'НЕПРАВИЛЬНО! Cумма ((п.п.2.1.4. а) (в них: чл. Профсоюза работающих)+п.п.2.1.4. б) (в них: чл. Профсоюза)) не может быть больше п.п.1.2.3. (в них: работающих)!)")</f>
        <v>0</v>
      </c>
      <c r="J133"/>
    </row>
    <row r="134" spans="1:10" ht="15">
      <c r="A134" s="216" t="s">
        <v>503</v>
      </c>
      <c r="B134" s="272" t="s">
        <v>146</v>
      </c>
      <c r="C134" s="285"/>
      <c r="D134" s="146"/>
      <c r="E134" s="12"/>
      <c r="F134" s="205">
        <f t="shared" si="10"/>
        <v>0</v>
      </c>
      <c r="G134" s="206" t="str">
        <f t="shared" si="11"/>
        <v>Не заполнено</v>
      </c>
      <c r="H134" s="207">
        <f>IF((E134+E142)-E43&lt;=0,,"'НЕПРАВИЛЬНО! Cумма ((п.п.2.1.4. а) (в т.ч.: пед. работников)+п.п.2.1.4. б) (в т.ч.: пед. работников)) не может быть больше п.п.1.2.3. (в т.ч.: пед. работников)!)")</f>
        <v>0</v>
      </c>
      <c r="J134"/>
    </row>
    <row r="135" spans="1:10" ht="15">
      <c r="A135" s="216" t="s">
        <v>504</v>
      </c>
      <c r="B135" s="272" t="s">
        <v>596</v>
      </c>
      <c r="C135" s="285"/>
      <c r="D135" s="146"/>
      <c r="E135" s="12"/>
      <c r="F135" s="205">
        <f t="shared" si="10"/>
        <v>0</v>
      </c>
      <c r="G135" s="206" t="str">
        <f t="shared" si="11"/>
        <v>Не заполнено</v>
      </c>
      <c r="H135" s="207">
        <f>IF((E135+E143)-E44&lt;=0,,"'НЕПРАВИЛЬНО! Cумма ((п.п.2.1.4. а) (из них: молодежи из пед.раб.)+п.п.2.1.4. б) (из них: молодежи из пед.раб.)) не может быть больше п.п.1.2.3. (из них: молодежи из пед.раб.)!)")</f>
        <v>0</v>
      </c>
      <c r="J135"/>
    </row>
    <row r="136" spans="1:10" ht="15">
      <c r="A136" s="216" t="s">
        <v>505</v>
      </c>
      <c r="B136" s="247"/>
      <c r="C136" s="4" t="s">
        <v>149</v>
      </c>
      <c r="D136" s="144"/>
      <c r="E136" s="12"/>
      <c r="F136" s="205">
        <f t="shared" si="10"/>
        <v>0</v>
      </c>
      <c r="G136" s="206" t="str">
        <f t="shared" si="11"/>
        <v>Не заполнено</v>
      </c>
      <c r="H136" s="207">
        <f>IF((E136+E144)-E45&lt;=0,,"'НЕПРАВИЛЬНО! Cумма ((п.п.2.1.4. а) (в т.ч.: - ППС)+п.п.2.1.4. б) (в т.ч.: - ППС)) не может быть больше п.п.1.2.3. (в т.ч.: - ППС)!)")</f>
        <v>0</v>
      </c>
      <c r="J136"/>
    </row>
    <row r="137" spans="1:10" ht="15">
      <c r="A137" s="216" t="s">
        <v>506</v>
      </c>
      <c r="B137" s="247"/>
      <c r="C137" s="4" t="s">
        <v>588</v>
      </c>
      <c r="D137" s="146"/>
      <c r="E137" s="12"/>
      <c r="F137" s="205">
        <f>COUNTA(E137)</f>
        <v>0</v>
      </c>
      <c r="G137" s="206" t="str">
        <f t="shared" si="11"/>
        <v>Не заполнено</v>
      </c>
      <c r="H137" s="207">
        <f>IF((E137+E145)-E46&lt;=0,,"'НЕПРАВИЛЬНО! Cумма ((п.п.2.1.4. а) (из них: молодежи из ППС)+п.п.2.1.4. б) (из них: молодежи из ППС)) не может быть больше п.п.1.2.3. (из них: молодежи из ППС)!)")</f>
        <v>0</v>
      </c>
      <c r="J137"/>
    </row>
    <row r="138" spans="1:10" ht="15">
      <c r="A138" s="216" t="s">
        <v>507</v>
      </c>
      <c r="B138" s="272" t="s">
        <v>245</v>
      </c>
      <c r="C138" s="285"/>
      <c r="D138" s="146"/>
      <c r="E138" s="14"/>
      <c r="F138" s="205">
        <f t="shared" si="10"/>
        <v>0</v>
      </c>
      <c r="G138" s="206" t="str">
        <f t="shared" si="11"/>
        <v>Не заполнено</v>
      </c>
      <c r="H138" s="207">
        <f>IF((E138+E148)-E47&lt;=0,,"'НЕПРАВИЛЬНО! Cумма ((п.п.2.1.4. а) (в них: обуч.)+п.п.2.1.4. в) (в них: чл. Профсоюза)) не может быть больше п.п.1.2.3. (в них: обуч.)!)")</f>
        <v>0</v>
      </c>
      <c r="J138"/>
    </row>
    <row r="139" spans="1:10" ht="15.75" thickBot="1">
      <c r="A139" s="216" t="s">
        <v>508</v>
      </c>
      <c r="B139" s="98" t="s">
        <v>244</v>
      </c>
      <c r="C139" s="251"/>
      <c r="D139" s="130"/>
      <c r="E139" s="13"/>
      <c r="F139" s="205">
        <f>COUNTA(E139)</f>
        <v>0</v>
      </c>
      <c r="G139" s="206" t="str">
        <f>IF(F139=1," ","Не заполнено")</f>
        <v>Не заполнено</v>
      </c>
      <c r="H139" s="207"/>
      <c r="J139"/>
    </row>
    <row r="140" spans="1:10" ht="15" thickBot="1">
      <c r="A140" s="216" t="s">
        <v>509</v>
      </c>
      <c r="B140" s="286" t="s">
        <v>85</v>
      </c>
      <c r="C140" s="270"/>
      <c r="D140" s="130"/>
      <c r="E140" s="17"/>
      <c r="F140" s="205">
        <f t="shared" si="10"/>
        <v>0</v>
      </c>
      <c r="G140" s="206" t="str">
        <f t="shared" si="11"/>
        <v>Не заполнено</v>
      </c>
      <c r="H140" s="207"/>
      <c r="J140"/>
    </row>
    <row r="141" spans="1:10" ht="15">
      <c r="A141" s="216" t="s">
        <v>510</v>
      </c>
      <c r="B141" s="284" t="s">
        <v>247</v>
      </c>
      <c r="C141" s="270"/>
      <c r="D141" s="146"/>
      <c r="E141" s="15"/>
      <c r="F141" s="205">
        <f t="shared" si="10"/>
        <v>0</v>
      </c>
      <c r="G141" s="206" t="str">
        <f t="shared" si="11"/>
        <v>Не заполнено</v>
      </c>
      <c r="H141" s="207">
        <f>IF((E141+E133)-E42&lt;=0,,"'НЕПРАВИЛЬНО! Cумма ((п.п.2.1.4. б) (в них: чл. Профсоюза)+п.п.2.1.4. а) (в них: чл. Профсоюза работающих)) не может быть больше п.п.1.2.3. (в них: работающих)!)")</f>
        <v>0</v>
      </c>
      <c r="J141"/>
    </row>
    <row r="142" spans="1:10" ht="15">
      <c r="A142" s="216" t="s">
        <v>511</v>
      </c>
      <c r="B142" s="272" t="s">
        <v>146</v>
      </c>
      <c r="C142" s="270"/>
      <c r="D142" s="146"/>
      <c r="E142" s="12"/>
      <c r="F142" s="205">
        <f t="shared" si="10"/>
        <v>0</v>
      </c>
      <c r="G142" s="206" t="str">
        <f t="shared" si="11"/>
        <v>Не заполнено</v>
      </c>
      <c r="H142" s="207">
        <f>IF((E142+E134)-E43&lt;=0,,"'НЕПРАВИЛЬНО! Cумма ((п.п.2.1.4. б) (в т.ч.: пед. работников)+п.п.2.1.4. а) (в т.ч.: пед. работников)) не может быть больше п.п.1.2.3. (в т.ч.: пед. работников)!)")</f>
        <v>0</v>
      </c>
      <c r="J142"/>
    </row>
    <row r="143" spans="1:10" ht="15">
      <c r="A143" s="216" t="s">
        <v>512</v>
      </c>
      <c r="B143" s="272" t="s">
        <v>596</v>
      </c>
      <c r="C143" s="270"/>
      <c r="D143" s="146"/>
      <c r="E143" s="14"/>
      <c r="F143" s="205">
        <f t="shared" si="10"/>
        <v>0</v>
      </c>
      <c r="G143" s="206" t="str">
        <f t="shared" si="11"/>
        <v>Не заполнено</v>
      </c>
      <c r="H143" s="207">
        <f>IF((E143+E135)-E44&lt;=0,,"'НЕПРАВИЛЬНО! Cумма ((п.п.2.1.4. б) (из них: молодежи из пед.раб.)+п.п.2.1.4. а) (из них: молодежи из пед.раб.)) не может быть больше п.п.1.2.3. (из них: молодежи из пед.раб.)!)")</f>
        <v>0</v>
      </c>
      <c r="J143"/>
    </row>
    <row r="144" spans="1:10" ht="15">
      <c r="A144" s="216" t="s">
        <v>513</v>
      </c>
      <c r="B144" s="247"/>
      <c r="C144" s="4" t="s">
        <v>149</v>
      </c>
      <c r="D144" s="144"/>
      <c r="E144" s="12"/>
      <c r="F144" s="205">
        <f>COUNTA(E144)</f>
        <v>0</v>
      </c>
      <c r="G144" s="206" t="str">
        <f>IF(F144=1," ","Не заполнено")</f>
        <v>Не заполнено</v>
      </c>
      <c r="H144" s="207">
        <f>IF((E144+E136)-E45&lt;=0,,"'НЕПРАВИЛЬНО! Cумма ((п.п.2.1.4. б) (в т.ч.: - ППС)+п.п.2.1.4. а) (в т.ч.: - ППС)) не может быть больше п.п.1.2.3. (в т.ч.: - ППС)!)")</f>
        <v>0</v>
      </c>
      <c r="J144"/>
    </row>
    <row r="145" spans="1:10" ht="15">
      <c r="A145" s="216" t="s">
        <v>514</v>
      </c>
      <c r="B145" s="247"/>
      <c r="C145" s="4" t="s">
        <v>588</v>
      </c>
      <c r="D145" s="146"/>
      <c r="E145" s="12"/>
      <c r="F145" s="205">
        <f>COUNTA(E145)</f>
        <v>0</v>
      </c>
      <c r="G145" s="206" t="str">
        <f>IF(F145=1," ","Не заполнено")</f>
        <v>Не заполнено</v>
      </c>
      <c r="H145" s="207">
        <f>IF((E145+E137)-E46&lt;=0,,"'НЕПРАВИЛЬНО! Cумма ((п.п.2.1.4. б) (из них: молодежи из ППС)+п.п.2.1.4. а) (из них: молодежи из ППС)) не может быть больше п.п.1.2.3. (из них: молодежи из ППС)!)")</f>
        <v>0</v>
      </c>
      <c r="J145"/>
    </row>
    <row r="146" spans="1:10" ht="15.75" thickBot="1">
      <c r="A146" s="216" t="s">
        <v>515</v>
      </c>
      <c r="B146" s="98" t="s">
        <v>244</v>
      </c>
      <c r="C146" s="248"/>
      <c r="D146" s="130"/>
      <c r="E146" s="13"/>
      <c r="F146" s="205">
        <f>COUNTA(E146)</f>
        <v>0</v>
      </c>
      <c r="G146" s="206" t="str">
        <f>IF(F146=1," ","Не заполнено")</f>
        <v>Не заполнено</v>
      </c>
      <c r="H146" s="207"/>
      <c r="J146"/>
    </row>
    <row r="147" spans="1:10" ht="15" thickBot="1">
      <c r="A147" s="216" t="s">
        <v>516</v>
      </c>
      <c r="B147" s="286" t="s">
        <v>169</v>
      </c>
      <c r="C147" s="270"/>
      <c r="D147" s="130"/>
      <c r="E147" s="17"/>
      <c r="F147" s="205">
        <f t="shared" si="10"/>
        <v>0</v>
      </c>
      <c r="G147" s="206" t="str">
        <f t="shared" si="11"/>
        <v>Не заполнено</v>
      </c>
      <c r="H147" s="207"/>
      <c r="J147"/>
    </row>
    <row r="148" spans="1:10" ht="15.75" thickBot="1">
      <c r="A148" s="216" t="s">
        <v>517</v>
      </c>
      <c r="B148" s="272" t="s">
        <v>148</v>
      </c>
      <c r="C148" s="270"/>
      <c r="D148" s="146"/>
      <c r="E148" s="16"/>
      <c r="F148" s="205">
        <f t="shared" si="10"/>
        <v>0</v>
      </c>
      <c r="G148" s="206" t="str">
        <f t="shared" si="11"/>
        <v>Не заполнено</v>
      </c>
      <c r="H148" s="207">
        <f>IF((E148+E138)-E47&lt;=0,,"'НЕПРАВИЛЬНО! Cумма ((п.п.2.1.4. в) (в них: чл. Профсоюза)+п.п.2.1.4. а) (в них: обуч.)) не может быть больше п.п.1.2.3. (в них: обуч.)!)")</f>
        <v>0</v>
      </c>
      <c r="J148"/>
    </row>
    <row r="149" spans="1:10" ht="17.25" thickBot="1">
      <c r="A149" s="44" t="s">
        <v>78</v>
      </c>
      <c r="B149" s="271" t="s">
        <v>597</v>
      </c>
      <c r="C149" s="270"/>
      <c r="D149" s="127" t="s">
        <v>65</v>
      </c>
      <c r="E149" s="6">
        <f>E151+E159+E166</f>
        <v>0</v>
      </c>
      <c r="F149" s="205"/>
      <c r="G149" s="206"/>
      <c r="H149"/>
      <c r="J149"/>
    </row>
    <row r="150" spans="1:10" ht="15.75" thickBot="1">
      <c r="A150" s="75"/>
      <c r="B150" s="247" t="s">
        <v>152</v>
      </c>
      <c r="C150" s="87"/>
      <c r="D150" s="136"/>
      <c r="E150" s="77" t="s">
        <v>53</v>
      </c>
      <c r="F150"/>
      <c r="G150" s="206"/>
      <c r="H150"/>
      <c r="J150"/>
    </row>
    <row r="151" spans="1:10" ht="16.5" thickBot="1">
      <c r="A151" s="216" t="s">
        <v>448</v>
      </c>
      <c r="B151" s="268" t="s">
        <v>89</v>
      </c>
      <c r="C151" s="270"/>
      <c r="D151" s="143"/>
      <c r="E151" s="17"/>
      <c r="F151" s="205">
        <f>COUNTA(E151)</f>
        <v>0</v>
      </c>
      <c r="G151" s="206" t="str">
        <f>IF(F151=1," ","Не заполнено")</f>
        <v>Не заполнено</v>
      </c>
      <c r="H151"/>
      <c r="J151"/>
    </row>
    <row r="152" spans="1:10" ht="15">
      <c r="A152" s="216" t="s">
        <v>449</v>
      </c>
      <c r="B152" s="247" t="s">
        <v>123</v>
      </c>
      <c r="C152" s="55" t="s">
        <v>241</v>
      </c>
      <c r="D152" s="144"/>
      <c r="E152" s="15"/>
      <c r="F152" s="205">
        <f aca="true" t="shared" si="12" ref="F152:F167">COUNTA(E152)</f>
        <v>0</v>
      </c>
      <c r="G152" s="206" t="str">
        <f aca="true" t="shared" si="13" ref="G152:G167">IF(F152=1," ","Не заполнено")</f>
        <v>Не заполнено</v>
      </c>
      <c r="H152" s="207">
        <f>IF((E152+E160)-E50&lt;=0,,"'НЕПРАВИЛЬНО! Cумма ((п.п.2.1.4.1. а) (в них: чл. Профсоюза работающих)+п.п.2.1.4.1. б) (в них: чл. Профсоюза)) не может быть больше п.п.1.2.3.1.  a) (всего работающих)!)")</f>
        <v>0</v>
      </c>
      <c r="J152"/>
    </row>
    <row r="153" spans="1:10" ht="15">
      <c r="A153" s="216" t="s">
        <v>450</v>
      </c>
      <c r="B153" s="247"/>
      <c r="C153" s="4" t="s">
        <v>207</v>
      </c>
      <c r="D153" s="147"/>
      <c r="E153" s="12"/>
      <c r="F153" s="205">
        <f>COUNTA(E153)</f>
        <v>0</v>
      </c>
      <c r="G153" s="206" t="str">
        <f>IF(F153=1," ","Не заполнено")</f>
        <v>Не заполнено</v>
      </c>
      <c r="H153" s="207">
        <f>IF((E153+E161)-E51&lt;=0,,"'НЕПРАВИЛЬНО! Cумма ((п.п.2.1.4.1. а) (в т.ч.: пед. работников)+п.п.2.1.4.1. б) (в т.ч.: пед. работников)) не может быть больше п.п.1.2.3.1.  a) (в т.ч.: пед. работников)!)")</f>
        <v>0</v>
      </c>
      <c r="J153"/>
    </row>
    <row r="154" spans="1:10" ht="15">
      <c r="A154" s="216" t="s">
        <v>451</v>
      </c>
      <c r="B154" s="247"/>
      <c r="C154" s="4" t="s">
        <v>595</v>
      </c>
      <c r="D154" s="146"/>
      <c r="E154" s="12"/>
      <c r="F154" s="205">
        <f>COUNTA(E154)</f>
        <v>0</v>
      </c>
      <c r="G154" s="206" t="str">
        <f>IF(F154=1," ","Не заполнено")</f>
        <v>Не заполнено</v>
      </c>
      <c r="H154" s="207">
        <f>IF((E154+E162)-E52&lt;=0,,"'НЕПРАВИЛЬНО! Cумма ((п.п.2.1.4.1. а) (из них: молодежи из пед. раб.)+п.п.2.1.4.1. б) (из них: молодежи из пед. раб.)) не может быть больше п.п.1.2.3.1. a) (из них: молодежи из пед. раб.)!)")</f>
        <v>0</v>
      </c>
      <c r="J154"/>
    </row>
    <row r="155" spans="1:10" ht="15">
      <c r="A155" s="216" t="s">
        <v>452</v>
      </c>
      <c r="B155" s="247"/>
      <c r="C155" s="4" t="s">
        <v>209</v>
      </c>
      <c r="D155" s="147"/>
      <c r="E155" s="12"/>
      <c r="F155" s="205">
        <f t="shared" si="12"/>
        <v>0</v>
      </c>
      <c r="G155" s="206" t="str">
        <f t="shared" si="13"/>
        <v>Не заполнено</v>
      </c>
      <c r="H155" s="207">
        <f>IF((E155+E163)-E53&lt;=0,,"'НЕПРАВИЛЬНО! Cумма ((п.п.2.1.4.1. а) (в т.ч.: - ППС)+п.п.2.1.4.1. б) (в т.ч.: - ППС)) не может быть больше п.п.1.2.3.1. a) (в т.ч.: - ППС)!)")</f>
        <v>0</v>
      </c>
      <c r="J155"/>
    </row>
    <row r="156" spans="1:10" ht="15">
      <c r="A156" s="216" t="s">
        <v>453</v>
      </c>
      <c r="B156" s="247"/>
      <c r="C156" s="4" t="s">
        <v>595</v>
      </c>
      <c r="D156" s="144"/>
      <c r="E156" s="12"/>
      <c r="F156" s="205">
        <f>COUNTA(E156)</f>
        <v>0</v>
      </c>
      <c r="G156" s="206" t="str">
        <f t="shared" si="13"/>
        <v>Не заполнено</v>
      </c>
      <c r="H156" s="207">
        <f>IF((E156+E164)-E54&lt;=0,,"'НЕПРАВИЛЬНО! Cумма ((п.п.2.1.4.1. а) (из них: молодежи из ППС)+п.п.2.1.4.1. б) (из них: молодежи из ППС)) не может быть больше п.п.1.2.3.1. a) (из них: молодежи из ППС)!)")</f>
        <v>0</v>
      </c>
      <c r="J156"/>
    </row>
    <row r="157" spans="1:10" ht="15">
      <c r="A157" s="216" t="s">
        <v>454</v>
      </c>
      <c r="B157" s="247"/>
      <c r="C157" s="55" t="s">
        <v>240</v>
      </c>
      <c r="D157" s="144"/>
      <c r="E157" s="14"/>
      <c r="F157" s="205">
        <f t="shared" si="12"/>
        <v>0</v>
      </c>
      <c r="G157" s="206" t="str">
        <f t="shared" si="13"/>
        <v>Не заполнено</v>
      </c>
      <c r="H157" s="207">
        <f>IF((E157+E167)-E55&lt;=0,,"'НЕПРАВИЛЬНО! Cумма ((п.п.2.1.4.1. а) (в них.: обуч.)+п.п.2.1.4.1. в) (в них: чл. Профсоюза)) не может быть больше п.п.1.2.3.1. б) (всего обуч.)!")</f>
        <v>0</v>
      </c>
      <c r="J157"/>
    </row>
    <row r="158" spans="1:10" ht="15.75" thickBot="1">
      <c r="A158" s="216" t="s">
        <v>455</v>
      </c>
      <c r="B158" s="98" t="s">
        <v>244</v>
      </c>
      <c r="C158" s="248"/>
      <c r="D158" s="143"/>
      <c r="E158" s="13"/>
      <c r="F158" s="205">
        <f>COUNTA(E158)</f>
        <v>0</v>
      </c>
      <c r="G158" s="206" t="str">
        <f>IF(F158=1," ","Не заполнено")</f>
        <v>Не заполнено</v>
      </c>
      <c r="H158" s="207"/>
      <c r="J158"/>
    </row>
    <row r="159" spans="1:10" ht="16.5" thickBot="1">
      <c r="A159" s="216" t="s">
        <v>456</v>
      </c>
      <c r="B159" s="268" t="s">
        <v>85</v>
      </c>
      <c r="C159" s="270"/>
      <c r="D159" s="143"/>
      <c r="E159" s="17"/>
      <c r="F159" s="205">
        <f t="shared" si="12"/>
        <v>0</v>
      </c>
      <c r="G159" s="206" t="str">
        <f t="shared" si="13"/>
        <v>Не заполнено</v>
      </c>
      <c r="H159"/>
      <c r="J159"/>
    </row>
    <row r="160" spans="1:10" ht="15">
      <c r="A160" s="216" t="s">
        <v>457</v>
      </c>
      <c r="B160" s="247" t="s">
        <v>123</v>
      </c>
      <c r="C160" s="284" t="s">
        <v>629</v>
      </c>
      <c r="D160" s="285"/>
      <c r="E160" s="15"/>
      <c r="F160" s="205">
        <f t="shared" si="12"/>
        <v>0</v>
      </c>
      <c r="G160" s="206" t="str">
        <f t="shared" si="13"/>
        <v>Не заполнено</v>
      </c>
      <c r="H160" s="207">
        <f>IF((E160+E152)-E50&lt;=0,,"'НЕПРАВИЛЬНО! Cумма ((п.п.2.1.4.1. б) (в них: чл. Профсоюза)+п.п.2.1.4.1. а) (в них: чл. Профсоюза работающих)) не может быть больше п.п.1.2.3.1. a) (всего работающих)!)")</f>
        <v>0</v>
      </c>
      <c r="J160"/>
    </row>
    <row r="161" spans="1:8" ht="15">
      <c r="A161" s="216" t="s">
        <v>458</v>
      </c>
      <c r="B161" s="247"/>
      <c r="C161" s="4" t="s">
        <v>207</v>
      </c>
      <c r="D161" s="144"/>
      <c r="E161" s="12"/>
      <c r="F161" s="205">
        <f>COUNTA(E161)</f>
        <v>0</v>
      </c>
      <c r="G161" s="206" t="str">
        <f>IF(F161=1," ","Не заполнено")</f>
        <v>Не заполнено</v>
      </c>
      <c r="H161" s="207">
        <f>IF((E161+E153)-E51&lt;=0,,"'НЕПРАВИЛЬНО! Cумма ((п.п.2.1.4.1. б) (в т.ч.: пед. работников)+п.п.2.1.4.1. а) (в т.ч.: пед. работников) не может быть больше п.п.1.2.3.1. a) (в т.ч.: пед. работников)!)")</f>
        <v>0</v>
      </c>
    </row>
    <row r="162" spans="1:8" ht="15">
      <c r="A162" s="216" t="s">
        <v>459</v>
      </c>
      <c r="B162" s="247"/>
      <c r="C162" s="4" t="s">
        <v>595</v>
      </c>
      <c r="D162" s="146"/>
      <c r="E162" s="12"/>
      <c r="F162" s="205">
        <f>COUNTA(E162)</f>
        <v>0</v>
      </c>
      <c r="G162" s="206" t="str">
        <f>IF(F162=1," ","Не заполнено")</f>
        <v>Не заполнено</v>
      </c>
      <c r="H162" s="207">
        <f>IF((E162+E154)-E52&lt;=0,,"'НЕПРАВИЛЬНО! Cумма ((п.п.2.1.4.1. б) (из них: молодежи из пед. раб.)+п.п.2.1.4.1. а) (из них: молодежи из пед. раб.)) не может быть больше п.п.1.2.3.1. a) (из них: молодежи из пед. раб.)!)")</f>
        <v>0</v>
      </c>
    </row>
    <row r="163" spans="1:8" ht="15">
      <c r="A163" s="216" t="s">
        <v>460</v>
      </c>
      <c r="B163" s="247"/>
      <c r="C163" s="4" t="s">
        <v>209</v>
      </c>
      <c r="D163" s="144"/>
      <c r="E163" s="12"/>
      <c r="F163" s="205">
        <f t="shared" si="12"/>
        <v>0</v>
      </c>
      <c r="G163" s="206" t="str">
        <f t="shared" si="13"/>
        <v>Не заполнено</v>
      </c>
      <c r="H163" s="207">
        <f>IF((E163+E155)-E53&lt;=0,,"'НЕПРАВИЛЬНО! Cумма ((п.п.2.1.4.1. б) (в т.ч.: - ППС)+п.п.2.1.4.1. а) (в т.ч.: - ППС)) не может быть больше п.п.1.2.3.1. a) (в т.ч.: - ППС)!)")</f>
        <v>0</v>
      </c>
    </row>
    <row r="164" spans="1:8" ht="15">
      <c r="A164" s="216" t="s">
        <v>461</v>
      </c>
      <c r="B164" s="247"/>
      <c r="C164" s="4" t="s">
        <v>595</v>
      </c>
      <c r="D164" s="146"/>
      <c r="E164" s="14"/>
      <c r="F164" s="205">
        <f>COUNTA(E164)</f>
        <v>0</v>
      </c>
      <c r="G164" s="206" t="str">
        <f t="shared" si="13"/>
        <v>Не заполнено</v>
      </c>
      <c r="H164" s="207">
        <f>IF((E164+E156)-E54&lt;=0,,"'НЕПРАВИЛЬНО! Cумма ((п.п.2.1.4.1. б) (из них: молодежи из ППС)+п.п.2.1.4.1. а) (из них: молодежи из ППС)) не может быть больше п.п.1.2.3.1. a) (из них: молодежи из ППС)!)")</f>
        <v>0</v>
      </c>
    </row>
    <row r="165" spans="1:8" ht="15.75" thickBot="1">
      <c r="A165" s="216" t="s">
        <v>462</v>
      </c>
      <c r="B165" s="98" t="s">
        <v>244</v>
      </c>
      <c r="C165" s="248"/>
      <c r="D165" s="130"/>
      <c r="E165" s="13"/>
      <c r="F165" s="205">
        <f>COUNTA(E165)</f>
        <v>0</v>
      </c>
      <c r="G165" s="206" t="str">
        <f>IF(F165=1," ","Не заполнено")</f>
        <v>Не заполнено</v>
      </c>
      <c r="H165" s="207"/>
    </row>
    <row r="166" spans="1:8" ht="16.5" thickBot="1">
      <c r="A166" s="216" t="s">
        <v>463</v>
      </c>
      <c r="B166" s="268" t="s">
        <v>169</v>
      </c>
      <c r="C166" s="270"/>
      <c r="D166" s="130"/>
      <c r="E166" s="17"/>
      <c r="F166" s="205">
        <f t="shared" si="12"/>
        <v>0</v>
      </c>
      <c r="G166" s="206" t="str">
        <f t="shared" si="13"/>
        <v>Не заполнено</v>
      </c>
      <c r="H166"/>
    </row>
    <row r="167" spans="1:8" ht="15.75" thickBot="1">
      <c r="A167" s="216" t="s">
        <v>464</v>
      </c>
      <c r="B167" s="247" t="s">
        <v>123</v>
      </c>
      <c r="C167" s="55" t="s">
        <v>127</v>
      </c>
      <c r="D167" s="130"/>
      <c r="E167" s="16"/>
      <c r="F167" s="205">
        <f t="shared" si="12"/>
        <v>0</v>
      </c>
      <c r="G167" s="206" t="str">
        <f t="shared" si="13"/>
        <v>Не заполнено</v>
      </c>
      <c r="H167" s="207">
        <f>IF((E167+E157)-E55&lt;=0,,"'НЕПРАВИЛЬНО! Cумма ((п.п.2.1.4.1. в) (в них: чл. Профсоюза)+п.п.2.1.4.1. а) (в них.: обуч.) не может быть больше п.п.1.2.3.1. б) (всего обуч.)!")</f>
        <v>0</v>
      </c>
    </row>
    <row r="168" spans="1:8" ht="15.75" thickBot="1">
      <c r="A168" s="216" t="s">
        <v>465</v>
      </c>
      <c r="B168" s="300" t="s">
        <v>420</v>
      </c>
      <c r="C168" s="270"/>
      <c r="D168" s="127" t="s">
        <v>65</v>
      </c>
      <c r="E168" s="201">
        <f>SUM(E170+E178+E185)</f>
        <v>0</v>
      </c>
      <c r="F168" s="205"/>
      <c r="G168" s="206"/>
      <c r="H168" s="207"/>
    </row>
    <row r="169" spans="1:8" ht="15.75" thickBot="1">
      <c r="A169" s="250"/>
      <c r="B169" s="4" t="s">
        <v>151</v>
      </c>
      <c r="C169" s="55"/>
      <c r="D169" s="146"/>
      <c r="E169" s="61" t="s">
        <v>53</v>
      </c>
      <c r="F169" s="205"/>
      <c r="G169" s="206"/>
      <c r="H169"/>
    </row>
    <row r="170" spans="1:8" ht="15" thickBot="1">
      <c r="A170" s="216" t="s">
        <v>466</v>
      </c>
      <c r="B170" s="286" t="s">
        <v>89</v>
      </c>
      <c r="C170" s="270"/>
      <c r="D170" s="130"/>
      <c r="E170" s="17"/>
      <c r="F170" s="205">
        <f aca="true" t="shared" si="14" ref="F170:F186">COUNTA(E170)</f>
        <v>0</v>
      </c>
      <c r="G170" s="206" t="str">
        <f aca="true" t="shared" si="15" ref="G170:G186">IF(F170=1," ","Не заполнено")</f>
        <v>Не заполнено</v>
      </c>
      <c r="H170" s="207"/>
    </row>
    <row r="171" spans="1:8" ht="15">
      <c r="A171" s="216" t="s">
        <v>467</v>
      </c>
      <c r="B171" s="272" t="s">
        <v>243</v>
      </c>
      <c r="C171" s="270"/>
      <c r="D171" s="146"/>
      <c r="E171" s="15"/>
      <c r="F171" s="205">
        <f t="shared" si="14"/>
        <v>0</v>
      </c>
      <c r="G171" s="206" t="str">
        <f t="shared" si="15"/>
        <v>Не заполнено</v>
      </c>
      <c r="H171" s="207">
        <f>IF((E171+E179)-E57&lt;=0,,"'НЕПРАВИЛЬНО! Cумма ((п.п.2.1.4.1. а) (в них: чл. Профсоюза работающих)+п.п.2.1.4.1. б) (в них: чл. Профсоюза)) не может быть больше п.п.1.2.3.1. (в них: работающих)!)")</f>
        <v>0</v>
      </c>
    </row>
    <row r="172" spans="1:8" ht="15">
      <c r="A172" s="216" t="s">
        <v>468</v>
      </c>
      <c r="B172" s="272" t="s">
        <v>146</v>
      </c>
      <c r="C172" s="270"/>
      <c r="D172" s="146"/>
      <c r="E172" s="12"/>
      <c r="F172" s="205">
        <f t="shared" si="14"/>
        <v>0</v>
      </c>
      <c r="G172" s="206" t="str">
        <f t="shared" si="15"/>
        <v>Не заполнено</v>
      </c>
      <c r="H172" s="207">
        <f>IF((E172+E180)-E58&lt;=0,,"'НЕПРАВИЛЬНО! Cумма ((п.п.2.1.4.1. а) (в т.ч.: пед. работников)+п.п.2.1.4.1. б) (в т.ч.: пед. работников)) не может быть больше п.п.1.2.3.1. (в т.ч.: пед. работников)!)")</f>
        <v>0</v>
      </c>
    </row>
    <row r="173" spans="1:8" ht="15">
      <c r="A173" s="216" t="s">
        <v>469</v>
      </c>
      <c r="B173" s="272" t="s">
        <v>596</v>
      </c>
      <c r="C173" s="270"/>
      <c r="D173" s="146"/>
      <c r="E173" s="12"/>
      <c r="F173" s="205">
        <f t="shared" si="14"/>
        <v>0</v>
      </c>
      <c r="G173" s="206" t="str">
        <f t="shared" si="15"/>
        <v>Не заполнено</v>
      </c>
      <c r="H173" s="207">
        <f>IF((E173+E181)-E59&lt;=0,,"'НЕПРАВИЛЬНО! Cумма ((п.п.2.1.4.1. а) (из них: молодежи из пед. раб.)+п.п.2.1.4.1. б) (из них: молодежи из пед. раб.)) не может быть больше п.п.1.2.3.1. (из них: молодежи из пед. раб.)!)")</f>
        <v>0</v>
      </c>
    </row>
    <row r="174" spans="1:8" ht="15">
      <c r="A174" s="216" t="s">
        <v>470</v>
      </c>
      <c r="B174" s="247"/>
      <c r="C174" s="4" t="s">
        <v>149</v>
      </c>
      <c r="D174" s="144"/>
      <c r="E174" s="12"/>
      <c r="F174" s="205">
        <f t="shared" si="14"/>
        <v>0</v>
      </c>
      <c r="G174" s="206" t="str">
        <f t="shared" si="15"/>
        <v>Не заполнено</v>
      </c>
      <c r="H174" s="207">
        <f>IF((E174+E182)-E60&lt;=0,,"'НЕПРАВИЛЬНО! Cумма ((п.п.2.1.4.1. а) (в т.ч.: - ППС)+п.п.2.1.4.1. б) (в т.ч.: - ППС)) не может быть больше п.п.1.2.3.1. (в т.ч.: - ППС)!)")</f>
        <v>0</v>
      </c>
    </row>
    <row r="175" spans="1:8" ht="15">
      <c r="A175" s="216" t="s">
        <v>471</v>
      </c>
      <c r="B175" s="272" t="s">
        <v>598</v>
      </c>
      <c r="C175" s="270"/>
      <c r="D175" s="146"/>
      <c r="E175" s="12"/>
      <c r="F175" s="205">
        <f>COUNTA(E175)</f>
        <v>0</v>
      </c>
      <c r="G175" s="206" t="str">
        <f t="shared" si="15"/>
        <v>Не заполнено</v>
      </c>
      <c r="H175" s="207">
        <f>IF((E175+E183)-E61&lt;=0,,"'НЕПРАВИЛЬНО! Cумма ((п.п.2.1.4.1. а) (из них: молодежи из ППС)+п.п.2.1.4.1. б) (из них: молодежи из ППС)) не может быть больше п.п.1.2.3.1. (из них: молодежи из ППС)!)")</f>
        <v>0</v>
      </c>
    </row>
    <row r="176" spans="1:8" ht="15">
      <c r="A176" s="216" t="s">
        <v>472</v>
      </c>
      <c r="B176" s="272" t="s">
        <v>245</v>
      </c>
      <c r="C176" s="270"/>
      <c r="D176" s="146"/>
      <c r="E176" s="14"/>
      <c r="F176" s="205">
        <f t="shared" si="14"/>
        <v>0</v>
      </c>
      <c r="G176" s="206" t="str">
        <f t="shared" si="15"/>
        <v>Не заполнено</v>
      </c>
      <c r="H176" s="207">
        <f>IF((E176+E186)-E62&lt;=0,,"'НЕПРАВИЛЬНО! Cумма ((п.п.2.1.4.1. а) (в них.: обуч.)+п.п.2.1.4.1. в) (в них: чл. Профсоюза)) не может быть больше п.п.1.2.3.1. (в них: обуч.)!")</f>
        <v>0</v>
      </c>
    </row>
    <row r="177" spans="1:8" ht="15.75" thickBot="1">
      <c r="A177" s="216" t="s">
        <v>473</v>
      </c>
      <c r="B177" s="98" t="s">
        <v>244</v>
      </c>
      <c r="C177" s="248"/>
      <c r="D177" s="130"/>
      <c r="E177" s="13"/>
      <c r="F177" s="205">
        <f>COUNTA(E177)</f>
        <v>0</v>
      </c>
      <c r="G177" s="206" t="str">
        <f>IF(F177=1," ","Не заполнено")</f>
        <v>Не заполнено</v>
      </c>
      <c r="H177" s="207"/>
    </row>
    <row r="178" spans="1:8" ht="15" thickBot="1">
      <c r="A178" s="216" t="s">
        <v>474</v>
      </c>
      <c r="B178" s="286" t="s">
        <v>85</v>
      </c>
      <c r="C178" s="270"/>
      <c r="D178" s="130"/>
      <c r="E178" s="17"/>
      <c r="F178" s="205">
        <f t="shared" si="14"/>
        <v>0</v>
      </c>
      <c r="G178" s="206" t="str">
        <f t="shared" si="15"/>
        <v>Не заполнено</v>
      </c>
      <c r="H178" s="207"/>
    </row>
    <row r="179" spans="1:8" ht="15">
      <c r="A179" s="216" t="s">
        <v>475</v>
      </c>
      <c r="B179" s="284" t="s">
        <v>247</v>
      </c>
      <c r="C179" s="270"/>
      <c r="D179" s="146"/>
      <c r="E179" s="15"/>
      <c r="F179" s="205">
        <f t="shared" si="14"/>
        <v>0</v>
      </c>
      <c r="G179" s="206" t="str">
        <f t="shared" si="15"/>
        <v>Не заполнено</v>
      </c>
      <c r="H179" s="207">
        <f>IF((E179+E171)-E57&lt;=0,,"'НЕПРАВИЛЬНО! Cумма ((п.п.2.1.4.1. б) (в них: чл. Профсоюза)+п.п.2.1.4.1. а) (в них: чл. Профсоюза работающих)) не может быть больше п.п.1.2.3.1. (в них: работающих)!)")</f>
        <v>0</v>
      </c>
    </row>
    <row r="180" spans="1:8" ht="15">
      <c r="A180" s="216" t="s">
        <v>476</v>
      </c>
      <c r="B180" s="272" t="s">
        <v>146</v>
      </c>
      <c r="C180" s="270"/>
      <c r="D180" s="146"/>
      <c r="E180" s="12"/>
      <c r="F180" s="205">
        <f t="shared" si="14"/>
        <v>0</v>
      </c>
      <c r="G180" s="206" t="str">
        <f t="shared" si="15"/>
        <v>Не заполнено</v>
      </c>
      <c r="H180" s="207">
        <f>IF((E180+E172)-E58&lt;=0,,"'НЕПРАВИЛЬНО! Cумма ((п.п.2.1.4.1. б) (в т.ч.: пед. работников)+п.п.2.1.4.1. а) (в т.ч.: пед. работников)) не может быть больше п.п.1.2.3.1. (в т.ч.: пед. работников)!)")</f>
        <v>0</v>
      </c>
    </row>
    <row r="181" spans="1:8" ht="15">
      <c r="A181" s="216" t="s">
        <v>477</v>
      </c>
      <c r="B181" s="272" t="s">
        <v>596</v>
      </c>
      <c r="C181" s="270"/>
      <c r="D181" s="146"/>
      <c r="E181" s="14"/>
      <c r="F181" s="205">
        <f t="shared" si="14"/>
        <v>0</v>
      </c>
      <c r="G181" s="206" t="str">
        <f t="shared" si="15"/>
        <v>Не заполнено</v>
      </c>
      <c r="H181" s="207">
        <f>IF((E181+E173)-E59&lt;=0,,"'НЕПРАВИЛЬНО! Cумма ((п.п.2.1.4.1. б) (из них: молодежи из пед. раб.)+п.п.2.1.4.1. а) (из них: молодежи из пед. раб.)) не может быть больше п.п.1.2.3.1. (из них: молодежи из пед. раб.)!)")</f>
        <v>0</v>
      </c>
    </row>
    <row r="182" spans="1:8" ht="15">
      <c r="A182" s="216" t="s">
        <v>478</v>
      </c>
      <c r="B182" s="247"/>
      <c r="C182" s="4" t="s">
        <v>149</v>
      </c>
      <c r="D182" s="144"/>
      <c r="E182" s="12"/>
      <c r="F182" s="205">
        <f>COUNTA(E182)</f>
        <v>0</v>
      </c>
      <c r="G182" s="206" t="str">
        <f>IF(F182=1," ","Не заполнено")</f>
        <v>Не заполнено</v>
      </c>
      <c r="H182" s="207">
        <f>IF((E182+E174)-E60&lt;=0,,"'НЕПРАВИЛЬНО! Cумма ((п.п.2.1.4.1. б) (в т.ч.: - ППС)+п.п.2.1.4.1. а) (в т.ч.: - ППС)) не может быть больше п.п.1.2.3.1. (в т.ч.: - ППС)!)")</f>
        <v>0</v>
      </c>
    </row>
    <row r="183" spans="1:8" ht="15">
      <c r="A183" s="216" t="s">
        <v>479</v>
      </c>
      <c r="B183" s="272" t="s">
        <v>598</v>
      </c>
      <c r="C183" s="270"/>
      <c r="D183" s="146"/>
      <c r="E183" s="12"/>
      <c r="F183" s="205">
        <f>COUNTA(E183)</f>
        <v>0</v>
      </c>
      <c r="G183" s="206" t="str">
        <f>IF(F183=1," ","Не заполнено")</f>
        <v>Не заполнено</v>
      </c>
      <c r="H183" s="207">
        <f>IF((E183+E175)-E61&lt;=0,,"'НЕПРАВИЛЬНО! Cумма ((п.п.2.1.4.1. б) (из них: молодежи из ППС)+п.п.2.1.4.1. а) (из них: молодежи из ППС)) не может быть больше п.п.1.2.3.1. (из них: молодежи из ППС)!)")</f>
        <v>0</v>
      </c>
    </row>
    <row r="184" spans="1:8" ht="15.75" thickBot="1">
      <c r="A184" s="216" t="s">
        <v>480</v>
      </c>
      <c r="B184" s="98" t="s">
        <v>239</v>
      </c>
      <c r="C184" s="248"/>
      <c r="D184" s="130"/>
      <c r="E184" s="13"/>
      <c r="F184" s="205">
        <f>COUNTA(E184)</f>
        <v>0</v>
      </c>
      <c r="G184" s="206" t="str">
        <f>IF(F184=1," ","Не заполнено")</f>
        <v>Не заполнено</v>
      </c>
      <c r="H184" s="207"/>
    </row>
    <row r="185" spans="1:8" ht="15" thickBot="1">
      <c r="A185" s="216" t="s">
        <v>481</v>
      </c>
      <c r="B185" s="286" t="s">
        <v>84</v>
      </c>
      <c r="C185" s="270"/>
      <c r="D185" s="130"/>
      <c r="E185" s="17"/>
      <c r="F185" s="205">
        <f t="shared" si="14"/>
        <v>0</v>
      </c>
      <c r="G185" s="206" t="str">
        <f t="shared" si="15"/>
        <v>Не заполнено</v>
      </c>
      <c r="H185" s="207"/>
    </row>
    <row r="186" spans="1:8" ht="15.75" thickBot="1">
      <c r="A186" s="216" t="s">
        <v>482</v>
      </c>
      <c r="B186" s="272" t="s">
        <v>148</v>
      </c>
      <c r="C186" s="270"/>
      <c r="D186" s="146"/>
      <c r="E186" s="16"/>
      <c r="F186" s="205">
        <f t="shared" si="14"/>
        <v>0</v>
      </c>
      <c r="G186" s="206" t="str">
        <f t="shared" si="15"/>
        <v>Не заполнено</v>
      </c>
      <c r="H186" s="207">
        <f>IF((E186+E176)-E62&lt;=0,,"'НЕПРАВИЛЬНО! Cумма ((п.п.2.1.4.1. в) (в них: чл. Профсоюза)+п.п.2.1.4.1. а) (в них.: обуч.)) не может быть больше п.п.1.2.3.1. (в них: обуч.)!")</f>
        <v>0</v>
      </c>
    </row>
    <row r="187" spans="1:8" ht="17.25" thickBot="1">
      <c r="A187" s="44" t="s">
        <v>14</v>
      </c>
      <c r="B187" s="271" t="s">
        <v>599</v>
      </c>
      <c r="C187" s="271"/>
      <c r="D187" s="127" t="s">
        <v>133</v>
      </c>
      <c r="E187" s="6">
        <f>E189+E195+E200</f>
        <v>0</v>
      </c>
      <c r="F187" s="205"/>
      <c r="G187" s="206"/>
      <c r="H187" s="207"/>
    </row>
    <row r="188" spans="1:8" ht="15.75" thickBot="1">
      <c r="A188" s="44"/>
      <c r="B188" s="247" t="s">
        <v>152</v>
      </c>
      <c r="C188" s="4"/>
      <c r="D188" s="148"/>
      <c r="E188" s="77" t="s">
        <v>53</v>
      </c>
      <c r="F188" s="205"/>
      <c r="G188" s="206"/>
      <c r="H188"/>
    </row>
    <row r="189" spans="1:8" ht="16.5" thickBot="1">
      <c r="A189" s="216" t="s">
        <v>421</v>
      </c>
      <c r="B189" s="268" t="s">
        <v>89</v>
      </c>
      <c r="C189" s="268"/>
      <c r="D189" s="130"/>
      <c r="E189" s="17"/>
      <c r="F189" s="205">
        <f aca="true" t="shared" si="16" ref="F189:F201">COUNTA(E189)</f>
        <v>0</v>
      </c>
      <c r="G189" s="206" t="str">
        <f aca="true" t="shared" si="17" ref="G189:G201">IF(F189=1," ","Не заполнено")</f>
        <v>Не заполнено</v>
      </c>
      <c r="H189"/>
    </row>
    <row r="190" spans="1:8" ht="15">
      <c r="A190" s="216" t="s">
        <v>422</v>
      </c>
      <c r="B190" s="247" t="s">
        <v>123</v>
      </c>
      <c r="C190" s="55" t="s">
        <v>248</v>
      </c>
      <c r="D190" s="146"/>
      <c r="E190" s="15"/>
      <c r="F190" s="205">
        <f t="shared" si="16"/>
        <v>0</v>
      </c>
      <c r="G190" s="206" t="str">
        <f t="shared" si="17"/>
        <v>Не заполнено</v>
      </c>
      <c r="H190" s="207">
        <f>IF((E190+E196)-E64&lt;=0,,"'НЕПРАВИЛЬНО! Cумма ((п.п.2.1.5. а) (в них: чл. Профсоюза работающих)+п.п.2.1.5. б) (в них: чл. Профсоюза)) не может быть больше п.п.1.2.4. a) (всего работающих)!)")</f>
        <v>0</v>
      </c>
    </row>
    <row r="191" spans="1:8" ht="15">
      <c r="A191" s="216" t="s">
        <v>423</v>
      </c>
      <c r="B191" s="247"/>
      <c r="C191" s="4" t="s">
        <v>207</v>
      </c>
      <c r="D191" s="146"/>
      <c r="E191" s="12"/>
      <c r="F191" s="205">
        <f t="shared" si="16"/>
        <v>0</v>
      </c>
      <c r="G191" s="206" t="str">
        <f t="shared" si="17"/>
        <v>Не заполнено</v>
      </c>
      <c r="H191" s="207">
        <f>IF((E191+E197)-E65&lt;=0,,"'НЕПРАВИЛЬНО! Cумма ((п.п.2.1.5. а) (в т.ч.: пед. работников)+п.п.2.1.5. б) (в т.ч.: пед. работников)) не может быть больше п.п.1.2.4. a) (в т.ч.: пед. работников)!)")</f>
        <v>0</v>
      </c>
    </row>
    <row r="192" spans="1:8" ht="15">
      <c r="A192" s="216" t="s">
        <v>424</v>
      </c>
      <c r="B192" s="247"/>
      <c r="C192" s="4" t="s">
        <v>595</v>
      </c>
      <c r="D192" s="146"/>
      <c r="E192" s="12"/>
      <c r="F192" s="205">
        <f t="shared" si="16"/>
        <v>0</v>
      </c>
      <c r="G192" s="206" t="str">
        <f t="shared" si="17"/>
        <v>Не заполнено</v>
      </c>
      <c r="H192" s="207">
        <f>IF((E192+E198)-E66&lt;=0,,"'НЕПРАВИЛЬНО! Cумма ((п.п.2.1.5. а) (из них: молодежи из пед. раб.)+п.п.2.1.5. б) (из них: молодежи из пед. раб.)) не может быть больше п.п.1.2.4. a) (из них: молодежи из пед. раб.)!)")</f>
        <v>0</v>
      </c>
    </row>
    <row r="193" spans="1:8" ht="15">
      <c r="A193" s="216" t="s">
        <v>425</v>
      </c>
      <c r="B193" s="247"/>
      <c r="C193" s="55" t="s">
        <v>240</v>
      </c>
      <c r="D193" s="149"/>
      <c r="E193" s="14"/>
      <c r="F193" s="205">
        <f t="shared" si="16"/>
        <v>0</v>
      </c>
      <c r="G193" s="206" t="str">
        <f t="shared" si="17"/>
        <v>Не заполнено</v>
      </c>
      <c r="H193" s="207">
        <f>IF((E193+E201)-E67&lt;=0,,"'НЕПРАВИЛЬНО! Cумма ((п.п.2.1.5. а) (в них.: обуч.)+п.п.2.1.5. в) (в них: чл. Профсоюза)) не может быть больше п.п.1.2.4. б) (всего обуч.)!")</f>
        <v>0</v>
      </c>
    </row>
    <row r="194" spans="1:8" ht="15.75" thickBot="1">
      <c r="A194" s="216" t="s">
        <v>426</v>
      </c>
      <c r="B194" s="98" t="s">
        <v>244</v>
      </c>
      <c r="C194" s="248"/>
      <c r="D194" s="146"/>
      <c r="E194" s="100"/>
      <c r="F194" s="205">
        <f t="shared" si="16"/>
        <v>0</v>
      </c>
      <c r="G194" s="206" t="str">
        <f>IF(F194=1," ","Не заполнено")</f>
        <v>Не заполнено</v>
      </c>
      <c r="H194" s="207"/>
    </row>
    <row r="195" spans="1:8" ht="16.5" thickBot="1">
      <c r="A195" s="216" t="s">
        <v>427</v>
      </c>
      <c r="B195" s="268" t="s">
        <v>85</v>
      </c>
      <c r="C195" s="268"/>
      <c r="D195" s="136"/>
      <c r="E195" s="17"/>
      <c r="F195" s="205">
        <f t="shared" si="16"/>
        <v>0</v>
      </c>
      <c r="G195" s="206" t="str">
        <f t="shared" si="17"/>
        <v>Не заполнено</v>
      </c>
      <c r="H195"/>
    </row>
    <row r="196" spans="1:8" ht="15">
      <c r="A196" s="216" t="s">
        <v>428</v>
      </c>
      <c r="B196" s="247" t="s">
        <v>123</v>
      </c>
      <c r="C196" s="245" t="s">
        <v>249</v>
      </c>
      <c r="D196" s="92"/>
      <c r="E196" s="15"/>
      <c r="F196" s="205">
        <f t="shared" si="16"/>
        <v>0</v>
      </c>
      <c r="G196" s="206" t="str">
        <f t="shared" si="17"/>
        <v>Не заполнено</v>
      </c>
      <c r="H196" s="207">
        <f>IF((E196+E190)-E64&lt;=0,,"'НЕПРАВИЛЬНО! Cумма ((п.п.2.1.5. б) (в них: чл. Профсоюза)+п.п.2.1.5. а) (в них: чл. Профсоюза работающих)) не может быть больше п.п.1.2.4. a) (всего работающих)!)")</f>
        <v>0</v>
      </c>
    </row>
    <row r="197" spans="1:8" ht="15">
      <c r="A197" s="216" t="s">
        <v>429</v>
      </c>
      <c r="B197" s="247"/>
      <c r="C197" s="4" t="s">
        <v>207</v>
      </c>
      <c r="D197" s="136"/>
      <c r="E197" s="12"/>
      <c r="F197" s="205">
        <f t="shared" si="16"/>
        <v>0</v>
      </c>
      <c r="G197" s="206" t="str">
        <f t="shared" si="17"/>
        <v>Не заполнено</v>
      </c>
      <c r="H197" s="207">
        <f>IF((E197+E191)-E65&lt;=0,,"'НЕПРАВИЛЬНО! Cумма ((п.п.2.1.5. б) (в т.ч.: пед. работников) п.п.2.1.5. а) (в т.ч.: пед. работников) не может быть больше п.п.1.2.4. a) (в т.ч.: пед. работников!)")</f>
        <v>0</v>
      </c>
    </row>
    <row r="198" spans="1:8" ht="15">
      <c r="A198" s="216" t="s">
        <v>430</v>
      </c>
      <c r="B198" s="247"/>
      <c r="C198" s="4" t="s">
        <v>595</v>
      </c>
      <c r="D198" s="146"/>
      <c r="E198" s="14"/>
      <c r="F198" s="205">
        <f t="shared" si="16"/>
        <v>0</v>
      </c>
      <c r="G198" s="206" t="str">
        <f t="shared" si="17"/>
        <v>Не заполнено</v>
      </c>
      <c r="H198" s="207">
        <f>IF((E198+E192)-E66&lt;=0,,"'НЕПРАВИЛЬНО! Cумма ((п.п.2.1.5. б) (из них: молодежи из пед. раб.)+п.п.2.1.5. а) (из них: молодежи из пед. раб.)) не может быть больше п.п.1.2.4. a) (из них: молодежи из пед. раб.)!)")</f>
        <v>0</v>
      </c>
    </row>
    <row r="199" spans="1:8" ht="15.75" thickBot="1">
      <c r="A199" s="216" t="s">
        <v>431</v>
      </c>
      <c r="B199" s="98" t="s">
        <v>244</v>
      </c>
      <c r="C199" s="248"/>
      <c r="D199" s="146"/>
      <c r="E199" s="101"/>
      <c r="F199" s="205">
        <f t="shared" si="16"/>
        <v>0</v>
      </c>
      <c r="G199" s="206" t="str">
        <f>IF(F199=1," ","Не заполнено")</f>
        <v>Не заполнено</v>
      </c>
      <c r="H199" s="207"/>
    </row>
    <row r="200" spans="1:8" ht="16.5" thickBot="1">
      <c r="A200" s="216" t="s">
        <v>432</v>
      </c>
      <c r="B200" s="268" t="s">
        <v>169</v>
      </c>
      <c r="C200" s="270"/>
      <c r="D200" s="130"/>
      <c r="E200" s="17"/>
      <c r="F200" s="205">
        <f t="shared" si="16"/>
        <v>0</v>
      </c>
      <c r="G200" s="206" t="str">
        <f t="shared" si="17"/>
        <v>Не заполнено</v>
      </c>
      <c r="H200"/>
    </row>
    <row r="201" spans="1:8" ht="15.75" thickBot="1">
      <c r="A201" s="216" t="s">
        <v>433</v>
      </c>
      <c r="B201" s="247" t="s">
        <v>123</v>
      </c>
      <c r="C201" s="55" t="s">
        <v>128</v>
      </c>
      <c r="D201" s="130"/>
      <c r="E201" s="16"/>
      <c r="F201" s="205">
        <f t="shared" si="16"/>
        <v>0</v>
      </c>
      <c r="G201" s="206" t="str">
        <f t="shared" si="17"/>
        <v>Не заполнено</v>
      </c>
      <c r="H201" s="207">
        <f>IF((E201+E193)-E67&lt;=0,,"'НЕПРАВИЛЬНО! Cумма ((п.п.2.1.5. в) (в них: чл. Профсоюза)+п.п.2.1.5. а) (в них.: обуч.)) не может быть больше п.п.1.2.4. б) (всего обуч.)!")</f>
        <v>0</v>
      </c>
    </row>
    <row r="202" spans="1:8" ht="15.75" thickBot="1">
      <c r="A202" s="216" t="s">
        <v>434</v>
      </c>
      <c r="B202" s="300" t="s">
        <v>420</v>
      </c>
      <c r="C202" s="270"/>
      <c r="D202" s="127" t="s">
        <v>65</v>
      </c>
      <c r="E202" s="201">
        <f>SUM(E204+E210+E215)</f>
        <v>0</v>
      </c>
      <c r="F202" s="205"/>
      <c r="G202" s="206"/>
      <c r="H202" s="207"/>
    </row>
    <row r="203" spans="1:8" ht="15.75" thickBot="1">
      <c r="A203" s="250"/>
      <c r="B203" s="4" t="s">
        <v>151</v>
      </c>
      <c r="C203" s="55"/>
      <c r="D203" s="146"/>
      <c r="E203" s="61" t="s">
        <v>53</v>
      </c>
      <c r="F203" s="205"/>
      <c r="G203" s="206"/>
      <c r="H203"/>
    </row>
    <row r="204" spans="1:8" ht="15" thickBot="1">
      <c r="A204" s="216" t="s">
        <v>435</v>
      </c>
      <c r="B204" s="286" t="s">
        <v>89</v>
      </c>
      <c r="C204" s="270"/>
      <c r="D204" s="130"/>
      <c r="E204" s="17"/>
      <c r="F204" s="205">
        <f aca="true" t="shared" si="18" ref="F204:F235">COUNTA(E204)</f>
        <v>0</v>
      </c>
      <c r="G204" s="206" t="str">
        <f aca="true" t="shared" si="19" ref="G204:G235">IF(F204=1," ","Не заполнено")</f>
        <v>Не заполнено</v>
      </c>
      <c r="H204" s="207"/>
    </row>
    <row r="205" spans="1:8" ht="15">
      <c r="A205" s="216" t="s">
        <v>436</v>
      </c>
      <c r="B205" s="272" t="s">
        <v>243</v>
      </c>
      <c r="C205" s="270"/>
      <c r="D205" s="146"/>
      <c r="E205" s="15"/>
      <c r="F205" s="205">
        <f t="shared" si="18"/>
        <v>0</v>
      </c>
      <c r="G205" s="206" t="str">
        <f t="shared" si="19"/>
        <v>Не заполнено</v>
      </c>
      <c r="H205" s="207">
        <f>IF((E205+E211)-E69&lt;=0,,"'НЕПРАВИЛЬНО! Сумма ((п.п.2.1.5. а) (в них: чл. Профсоюза работающих)+п.п.2.1.5. б) (в них: чл. Профсоюза)  не может быть больше п.п.1.2.4. (в них: работающих))!")</f>
        <v>0</v>
      </c>
    </row>
    <row r="206" spans="1:8" ht="15">
      <c r="A206" s="216" t="s">
        <v>437</v>
      </c>
      <c r="B206" s="272" t="s">
        <v>146</v>
      </c>
      <c r="C206" s="270"/>
      <c r="D206" s="146"/>
      <c r="E206" s="12"/>
      <c r="F206" s="205">
        <f t="shared" si="18"/>
        <v>0</v>
      </c>
      <c r="G206" s="206" t="str">
        <f t="shared" si="19"/>
        <v>Не заполнено</v>
      </c>
      <c r="H206" s="207">
        <f>IF((E206+E212)-E70&lt;=0,,"'НЕПРАВИЛЬНО! Сумма ((п.п.2.1.5. а) (в т.ч.: пед. работников)+п.п.2.1.5. б) (в т.ч.: пед. работников) не может быть больше п.п.1.2.4. (в т.ч.: пед. работников))!")</f>
        <v>0</v>
      </c>
    </row>
    <row r="207" spans="1:8" ht="15">
      <c r="A207" s="216" t="s">
        <v>438</v>
      </c>
      <c r="B207" s="272" t="s">
        <v>596</v>
      </c>
      <c r="C207" s="270"/>
      <c r="D207" s="146"/>
      <c r="E207" s="12"/>
      <c r="F207" s="205">
        <f t="shared" si="18"/>
        <v>0</v>
      </c>
      <c r="G207" s="206" t="str">
        <f t="shared" si="19"/>
        <v>Не заполнено</v>
      </c>
      <c r="H207" s="207">
        <f>IF((E207+E213)-E71&lt;=0,,"'НЕПРАВИЛЬНО! Сумма ((п.п.2.1.5. а) (из них: молодежи из пед. раб.)+п.п.2.1.5. б) (из них: молодежи из пед. раб.)  не может быть больше п.п.1.2.4. (из них: молодежи из пед. раб.))!")</f>
        <v>0</v>
      </c>
    </row>
    <row r="208" spans="1:8" ht="15">
      <c r="A208" s="216" t="s">
        <v>439</v>
      </c>
      <c r="B208" s="272" t="s">
        <v>245</v>
      </c>
      <c r="C208" s="270"/>
      <c r="D208" s="146"/>
      <c r="E208" s="12"/>
      <c r="F208" s="205">
        <f t="shared" si="18"/>
        <v>0</v>
      </c>
      <c r="G208" s="206" t="str">
        <f t="shared" si="19"/>
        <v>Не заполнено</v>
      </c>
      <c r="H208" s="207">
        <f>IF((E208+E216)-E72&lt;=0,,"'НЕПРАВИЛЬНО! Сумма ((п.п.2.1.5. а) (в них: обуч.)+п.п.2.1.5. в) (в них: чл.Профсоюза) не может быть больше п.п.1.2.4. (в них: обуч.))!")</f>
        <v>0</v>
      </c>
    </row>
    <row r="209" spans="1:8" ht="15.75" thickBot="1">
      <c r="A209" s="216" t="s">
        <v>440</v>
      </c>
      <c r="B209" s="98" t="s">
        <v>244</v>
      </c>
      <c r="C209" s="248"/>
      <c r="D209" s="130"/>
      <c r="E209" s="13"/>
      <c r="F209" s="205">
        <f>COUNTA(E209)</f>
        <v>0</v>
      </c>
      <c r="G209" s="206" t="str">
        <f>IF(F209=1," ","Не заполнено")</f>
        <v>Не заполнено</v>
      </c>
      <c r="H209" s="207"/>
    </row>
    <row r="210" spans="1:8" ht="15" thickBot="1">
      <c r="A210" s="216" t="s">
        <v>441</v>
      </c>
      <c r="B210" s="286" t="s">
        <v>85</v>
      </c>
      <c r="C210" s="270"/>
      <c r="D210" s="130"/>
      <c r="E210" s="17"/>
      <c r="F210" s="205">
        <f t="shared" si="18"/>
        <v>0</v>
      </c>
      <c r="G210" s="206" t="str">
        <f t="shared" si="19"/>
        <v>Не заполнено</v>
      </c>
      <c r="H210" s="207"/>
    </row>
    <row r="211" spans="1:8" ht="15">
      <c r="A211" s="216" t="s">
        <v>442</v>
      </c>
      <c r="B211" s="284" t="s">
        <v>250</v>
      </c>
      <c r="C211" s="270"/>
      <c r="D211" s="146"/>
      <c r="E211" s="15"/>
      <c r="F211" s="205">
        <f t="shared" si="18"/>
        <v>0</v>
      </c>
      <c r="G211" s="206" t="str">
        <f t="shared" si="19"/>
        <v>Не заполнено</v>
      </c>
      <c r="H211" s="207">
        <f>IF((E211+E205)-E69&lt;=0,,"'НЕПРАВИЛЬНО! Сумма ((п.п.2.1.5. б) (в них: чл. Профсоюза) + п.п.2.1.5. а) (в них: чл.Профсоюза работающих) не может быть больше п.п.1.2.4. (в них: работающих))!")</f>
        <v>0</v>
      </c>
    </row>
    <row r="212" spans="1:8" ht="15">
      <c r="A212" s="216" t="s">
        <v>443</v>
      </c>
      <c r="B212" s="272" t="s">
        <v>146</v>
      </c>
      <c r="C212" s="270"/>
      <c r="D212" s="146"/>
      <c r="E212" s="12"/>
      <c r="F212" s="205">
        <f t="shared" si="18"/>
        <v>0</v>
      </c>
      <c r="G212" s="206" t="str">
        <f t="shared" si="19"/>
        <v>Не заполнено</v>
      </c>
      <c r="H212" s="207">
        <f>IF((E212+E206)-E70&lt;=0,,"'НЕПРАВИЛЬНО! Сумма ((п.п.2.1.5. б) (в т.ч.: пед. работников)+п.п.2.1.5. а) (в т.ч.: пед. работников) не может быть больше п.п.1.2.4. (в т.ч.: пед. работников))!")</f>
        <v>0</v>
      </c>
    </row>
    <row r="213" spans="1:8" ht="15">
      <c r="A213" s="216" t="s">
        <v>444</v>
      </c>
      <c r="B213" s="272" t="s">
        <v>596</v>
      </c>
      <c r="C213" s="270"/>
      <c r="D213" s="146"/>
      <c r="E213" s="14"/>
      <c r="F213" s="205">
        <f t="shared" si="18"/>
        <v>0</v>
      </c>
      <c r="G213" s="206" t="str">
        <f t="shared" si="19"/>
        <v>Не заполнено</v>
      </c>
      <c r="H213" s="207">
        <f>IF((E213+E207)-E71&lt;=0,,"'НЕПРАВИЛЬНО! Сумма ((п.п.2.1.5. б) (из них: молодежи из пед. раб.)+п.п.2.1.5. а) (из них: молодежи из пед. раб.) не может быть больше п.п.1.2.4. (из них: молодежи из пед. раб.))!")</f>
        <v>0</v>
      </c>
    </row>
    <row r="214" spans="1:8" ht="15.75" thickBot="1">
      <c r="A214" s="216" t="s">
        <v>445</v>
      </c>
      <c r="B214" s="98" t="s">
        <v>244</v>
      </c>
      <c r="C214" s="248"/>
      <c r="D214" s="130"/>
      <c r="E214" s="13"/>
      <c r="F214" s="205">
        <f>COUNTA(E214)</f>
        <v>0</v>
      </c>
      <c r="G214" s="206" t="str">
        <f>IF(F214=1," ","Не заполнено")</f>
        <v>Не заполнено</v>
      </c>
      <c r="H214" s="207"/>
    </row>
    <row r="215" spans="1:8" ht="15" thickBot="1">
      <c r="A215" s="216" t="s">
        <v>446</v>
      </c>
      <c r="B215" s="286" t="s">
        <v>169</v>
      </c>
      <c r="C215" s="270"/>
      <c r="D215" s="130"/>
      <c r="E215" s="17"/>
      <c r="F215" s="205">
        <f t="shared" si="18"/>
        <v>0</v>
      </c>
      <c r="G215" s="206" t="str">
        <f t="shared" si="19"/>
        <v>Не заполнено</v>
      </c>
      <c r="H215" s="207"/>
    </row>
    <row r="216" spans="1:8" ht="15.75" thickBot="1">
      <c r="A216" s="216" t="s">
        <v>447</v>
      </c>
      <c r="B216" s="272" t="s">
        <v>148</v>
      </c>
      <c r="C216" s="270"/>
      <c r="D216" s="146"/>
      <c r="E216" s="16"/>
      <c r="F216" s="205">
        <f t="shared" si="18"/>
        <v>0</v>
      </c>
      <c r="G216" s="206" t="str">
        <f t="shared" si="19"/>
        <v>Не заполнено</v>
      </c>
      <c r="H216" s="207">
        <f>IF((E216+E208)-E72&lt;=0,,"'НЕПРАВИЛЬНО! Сумма ((п.п.2.1.5. в) (в них: чл. Профсоюза)+п.п.2.1.5. а) (в них: обуч.) не может быть больше п.п.1.2.4. (в них: обуч.))!")</f>
        <v>0</v>
      </c>
    </row>
    <row r="217" spans="1:8" ht="17.25" thickBot="1">
      <c r="A217" s="44" t="s">
        <v>16</v>
      </c>
      <c r="B217" s="271" t="s">
        <v>600</v>
      </c>
      <c r="C217" s="270"/>
      <c r="D217" s="130"/>
      <c r="E217" s="17"/>
      <c r="F217" s="205">
        <f t="shared" si="18"/>
        <v>0</v>
      </c>
      <c r="G217" s="206" t="str">
        <f t="shared" si="19"/>
        <v>Не заполнено</v>
      </c>
      <c r="H217"/>
    </row>
    <row r="218" spans="1:8" ht="15">
      <c r="A218" s="216" t="s">
        <v>416</v>
      </c>
      <c r="B218" s="247" t="s">
        <v>123</v>
      </c>
      <c r="C218" s="245" t="s">
        <v>249</v>
      </c>
      <c r="D218" s="244"/>
      <c r="E218" s="12"/>
      <c r="F218" s="205">
        <f t="shared" si="18"/>
        <v>0</v>
      </c>
      <c r="G218" s="206" t="str">
        <f t="shared" si="19"/>
        <v>Не заполнено</v>
      </c>
      <c r="H218" s="207">
        <f>IF(E218-E74&lt;=0,,"'НЕПРАВИЛЬНО! п.п.2.1.6. (в них: чл. Профсоюза) не может быть больше п.п.1.2.5. (в них: работающих)!")</f>
        <v>0</v>
      </c>
    </row>
    <row r="219" spans="1:8" ht="15">
      <c r="A219" s="216" t="s">
        <v>417</v>
      </c>
      <c r="B219" s="247"/>
      <c r="C219" s="4" t="s">
        <v>207</v>
      </c>
      <c r="D219" s="146"/>
      <c r="E219" s="15"/>
      <c r="F219" s="205">
        <f t="shared" si="18"/>
        <v>0</v>
      </c>
      <c r="G219" s="206" t="str">
        <f t="shared" si="19"/>
        <v>Не заполнено</v>
      </c>
      <c r="H219" s="207">
        <f>IF(E219-E75&lt;=0,,"'НЕПРАВИЛЬНО! п.п.2.1.6. (в т.ч.: пед. работников) не может быть больше  п.п.1.2.5. (в т.ч.: пед. работников)!")</f>
        <v>0</v>
      </c>
    </row>
    <row r="220" spans="1:8" ht="15">
      <c r="A220" s="216" t="s">
        <v>418</v>
      </c>
      <c r="B220" s="247"/>
      <c r="C220" s="4" t="s">
        <v>595</v>
      </c>
      <c r="D220" s="136"/>
      <c r="E220" s="12"/>
      <c r="F220" s="205">
        <f t="shared" si="18"/>
        <v>0</v>
      </c>
      <c r="G220" s="206" t="str">
        <f t="shared" si="19"/>
        <v>Не заполнено</v>
      </c>
      <c r="H220" s="207">
        <f>IF(E220-E76&lt;=0,,"'НЕПРАВИЛЬНО! п.п.2.1.6.  (из них: молодежи из пед. раб.)  не может быть больше п.п.1.2.5. (из них: молодежи из пед. раб.)!")</f>
        <v>0</v>
      </c>
    </row>
    <row r="221" spans="1:8" ht="15.75" thickBot="1">
      <c r="A221" s="216" t="s">
        <v>419</v>
      </c>
      <c r="B221" s="98" t="s">
        <v>244</v>
      </c>
      <c r="C221" s="248"/>
      <c r="D221" s="146"/>
      <c r="E221" s="99"/>
      <c r="F221" s="205">
        <f t="shared" si="18"/>
        <v>0</v>
      </c>
      <c r="G221" s="206" t="str">
        <f>IF(F221=1," ","Не заполнено")</f>
        <v>Не заполнено</v>
      </c>
      <c r="H221" s="207"/>
    </row>
    <row r="222" spans="1:8" ht="17.25" thickBot="1">
      <c r="A222" s="44" t="s">
        <v>17</v>
      </c>
      <c r="B222" s="271" t="s">
        <v>601</v>
      </c>
      <c r="C222" s="270"/>
      <c r="D222" s="130"/>
      <c r="E222" s="17"/>
      <c r="F222" s="205">
        <f t="shared" si="18"/>
        <v>0</v>
      </c>
      <c r="G222" s="206" t="str">
        <f t="shared" si="19"/>
        <v>Не заполнено</v>
      </c>
      <c r="H222"/>
    </row>
    <row r="223" spans="1:8" ht="15">
      <c r="A223" s="216" t="s">
        <v>408</v>
      </c>
      <c r="B223" s="247" t="s">
        <v>123</v>
      </c>
      <c r="C223" s="245" t="s">
        <v>249</v>
      </c>
      <c r="D223" s="244"/>
      <c r="E223" s="15"/>
      <c r="F223" s="205">
        <f t="shared" si="18"/>
        <v>0</v>
      </c>
      <c r="G223" s="206" t="str">
        <f t="shared" si="19"/>
        <v>Не заполнено</v>
      </c>
      <c r="H223" s="207">
        <f>IF(E223-E78&lt;=0,,"'НЕПРАВИЛЬНО! п.п.2.1.7. (в них: чл. Профсоюза) не может быть больше п.п.1.2.6. (в них: работающих)!")</f>
        <v>0</v>
      </c>
    </row>
    <row r="224" spans="1:8" ht="15">
      <c r="A224" s="216" t="s">
        <v>409</v>
      </c>
      <c r="B224" s="247"/>
      <c r="C224" s="9" t="s">
        <v>208</v>
      </c>
      <c r="D224" s="144"/>
      <c r="E224" s="12"/>
      <c r="F224" s="205">
        <f t="shared" si="18"/>
        <v>0</v>
      </c>
      <c r="G224" s="206" t="str">
        <f t="shared" si="19"/>
        <v>Не заполнено</v>
      </c>
      <c r="H224" s="207">
        <f>IF(E224-E79&lt;=0,,"'НЕПРАВИЛЬНО! п.п.2.1.7. (в т.ч.: ППС) не может быть больше п.п.1.2.6. (в т.ч.: ППС)!")</f>
        <v>0</v>
      </c>
    </row>
    <row r="225" spans="1:8" ht="13.5" customHeight="1">
      <c r="A225" s="216" t="s">
        <v>410</v>
      </c>
      <c r="B225" s="247"/>
      <c r="C225" s="4" t="s">
        <v>595</v>
      </c>
      <c r="D225" s="143"/>
      <c r="E225" s="12"/>
      <c r="F225" s="205">
        <f t="shared" si="18"/>
        <v>0</v>
      </c>
      <c r="G225" s="206" t="str">
        <f t="shared" si="19"/>
        <v>Не заполнено</v>
      </c>
      <c r="H225" s="207">
        <f>IF(E225-E80&lt;=0,,"'НЕПРАВИЛЬНО! п.п.2.1.7. (из них: молодежи из ППС) не может быть больше п.п.1.2.6. (из них: молодежи из ППС)!")</f>
        <v>0</v>
      </c>
    </row>
    <row r="226" spans="1:8" ht="13.5" customHeight="1" thickBot="1">
      <c r="A226" s="216" t="s">
        <v>411</v>
      </c>
      <c r="B226" s="98" t="s">
        <v>244</v>
      </c>
      <c r="C226" s="248"/>
      <c r="D226" s="144"/>
      <c r="E226" s="99"/>
      <c r="F226" s="205">
        <f t="shared" si="18"/>
        <v>0</v>
      </c>
      <c r="G226" s="206" t="str">
        <f>IF(F226=1," ","Не заполнено")</f>
        <v>Не заполнено</v>
      </c>
      <c r="H226" s="207"/>
    </row>
    <row r="227" spans="1:8" ht="17.25" thickBot="1">
      <c r="A227" s="44" t="s">
        <v>18</v>
      </c>
      <c r="B227" s="271" t="s">
        <v>602</v>
      </c>
      <c r="C227" s="270"/>
      <c r="D227" s="131"/>
      <c r="E227" s="17"/>
      <c r="F227" s="205">
        <f t="shared" si="18"/>
        <v>0</v>
      </c>
      <c r="G227" s="206" t="str">
        <f t="shared" si="19"/>
        <v>Не заполнено</v>
      </c>
      <c r="H227"/>
    </row>
    <row r="228" spans="1:8" ht="15">
      <c r="A228" s="216" t="s">
        <v>412</v>
      </c>
      <c r="B228" s="247" t="s">
        <v>123</v>
      </c>
      <c r="C228" s="245" t="s">
        <v>249</v>
      </c>
      <c r="D228" s="105"/>
      <c r="E228" s="15"/>
      <c r="F228" s="205">
        <f t="shared" si="18"/>
        <v>0</v>
      </c>
      <c r="G228" s="206" t="str">
        <f t="shared" si="19"/>
        <v>Не заполнено</v>
      </c>
      <c r="H228" s="207">
        <f>IF(E228-E82&lt;=0,,"'НЕПРАВИЛЬНО! п.п.2.1.8. (в них: чл. Профсоюза) не может быть больше п.п.1.2.7. (в них: работающих)!")</f>
        <v>0</v>
      </c>
    </row>
    <row r="229" spans="1:8" ht="15">
      <c r="A229" s="216" t="s">
        <v>413</v>
      </c>
      <c r="B229" s="247"/>
      <c r="C229" s="9" t="s">
        <v>208</v>
      </c>
      <c r="D229" s="147"/>
      <c r="E229" s="12"/>
      <c r="F229" s="205">
        <f t="shared" si="18"/>
        <v>0</v>
      </c>
      <c r="G229" s="206" t="str">
        <f t="shared" si="19"/>
        <v>Не заполнено</v>
      </c>
      <c r="H229" s="207">
        <f>IF(E229-E83&lt;=0,,"'НЕПРАВИЛЬНО! п.п.2.1.8. (в т.ч.: ППС) не может быть больше п.п.1.2.7. (в т.ч.: ППС)!")</f>
        <v>0</v>
      </c>
    </row>
    <row r="230" spans="1:8" ht="15">
      <c r="A230" s="216" t="s">
        <v>414</v>
      </c>
      <c r="B230" s="247"/>
      <c r="C230" s="4" t="s">
        <v>595</v>
      </c>
      <c r="D230" s="146"/>
      <c r="E230" s="18"/>
      <c r="F230" s="205">
        <f t="shared" si="18"/>
        <v>0</v>
      </c>
      <c r="G230" s="206" t="str">
        <f t="shared" si="19"/>
        <v>Не заполнено</v>
      </c>
      <c r="H230" s="207">
        <f>IF(E230-E84&lt;=0,,"'НЕПРАВИЛЬНО! п.п.2.1.8. (из них: молодежи из ППС) не может быть больше п.п.1.2.7. (из них: молодежи из ППС)!")</f>
        <v>0</v>
      </c>
    </row>
    <row r="231" spans="1:8" ht="15.75" thickBot="1">
      <c r="A231" s="216" t="s">
        <v>415</v>
      </c>
      <c r="B231" s="98" t="s">
        <v>244</v>
      </c>
      <c r="C231" s="248"/>
      <c r="D231" s="130"/>
      <c r="E231" s="13"/>
      <c r="F231" s="205">
        <f>COUNTA(E231)</f>
        <v>0</v>
      </c>
      <c r="G231" s="206" t="str">
        <f>IF(F231=1," ","Не заполнено")</f>
        <v>Не заполнено</v>
      </c>
      <c r="H231" s="207"/>
    </row>
    <row r="232" spans="1:8" ht="17.25" thickBot="1">
      <c r="A232" s="44" t="s">
        <v>19</v>
      </c>
      <c r="B232" s="271" t="s">
        <v>603</v>
      </c>
      <c r="C232" s="270"/>
      <c r="D232" s="130"/>
      <c r="E232" s="17"/>
      <c r="F232" s="205">
        <f t="shared" si="18"/>
        <v>0</v>
      </c>
      <c r="G232" s="206" t="str">
        <f t="shared" si="19"/>
        <v>Не заполнено</v>
      </c>
      <c r="H232"/>
    </row>
    <row r="233" spans="1:8" ht="15">
      <c r="A233" s="216" t="s">
        <v>404</v>
      </c>
      <c r="B233" s="247" t="s">
        <v>123</v>
      </c>
      <c r="C233" s="245" t="s">
        <v>249</v>
      </c>
      <c r="D233" s="244"/>
      <c r="E233" s="12"/>
      <c r="F233" s="205">
        <f t="shared" si="18"/>
        <v>0</v>
      </c>
      <c r="G233" s="206" t="str">
        <f>IF(F233=1," ","Не заполнено")</f>
        <v>Не заполнено</v>
      </c>
      <c r="H233" s="207">
        <f>IF(E233-E86&lt;=0,,"'НЕПРАВИЛЬНО! п.п.2.1.9. (в них: чл. Профсоюза) не может быть больше п.п.1.2.8. (в них: работающих)!")</f>
        <v>0</v>
      </c>
    </row>
    <row r="234" spans="1:8" ht="15">
      <c r="A234" s="216" t="s">
        <v>405</v>
      </c>
      <c r="B234" s="247"/>
      <c r="C234" s="4" t="s">
        <v>207</v>
      </c>
      <c r="D234" s="69"/>
      <c r="E234" s="12"/>
      <c r="F234" s="205">
        <f t="shared" si="18"/>
        <v>0</v>
      </c>
      <c r="G234" s="206" t="str">
        <f t="shared" si="19"/>
        <v>Не заполнено</v>
      </c>
      <c r="H234" s="207">
        <f>IF(E234-E87&lt;=0,,"'НЕПРАВИЛЬНО! п.п.2.1.9. (в т.ч.: пед. работников) не может быть больше п.п.1.2.8. (в т.ч.: пед. работников)!")</f>
        <v>0</v>
      </c>
    </row>
    <row r="235" spans="1:8" ht="15">
      <c r="A235" s="216" t="s">
        <v>406</v>
      </c>
      <c r="B235" s="247"/>
      <c r="C235" s="4" t="s">
        <v>595</v>
      </c>
      <c r="D235" s="69"/>
      <c r="E235" s="14"/>
      <c r="F235" s="205">
        <f t="shared" si="18"/>
        <v>0</v>
      </c>
      <c r="G235" s="206" t="str">
        <f t="shared" si="19"/>
        <v>Не заполнено</v>
      </c>
      <c r="H235" s="207">
        <f>IF(E235-E88&lt;=0,,"'НЕПРАВИЛЬНО! п.п.2.1.9. (из них: молодежи из пед. раб.) не может быть больше п.п.1.2.8. (из них: молодежи из пед. раб.)!")</f>
        <v>0</v>
      </c>
    </row>
    <row r="236" spans="1:8" ht="15.75" thickBot="1">
      <c r="A236" s="216" t="s">
        <v>407</v>
      </c>
      <c r="B236" s="98" t="s">
        <v>244</v>
      </c>
      <c r="C236" s="248"/>
      <c r="D236" s="69"/>
      <c r="E236" s="13"/>
      <c r="F236" s="205">
        <f>COUNTA(E236)</f>
        <v>0</v>
      </c>
      <c r="G236" s="206" t="str">
        <f>IF(F236=1," ","Не заполнено")</f>
        <v>Не заполнено</v>
      </c>
      <c r="H236" s="207"/>
    </row>
    <row r="237" spans="1:8" ht="17.25" thickBot="1">
      <c r="A237" s="44" t="s">
        <v>79</v>
      </c>
      <c r="B237" s="309" t="s">
        <v>155</v>
      </c>
      <c r="C237" s="270"/>
      <c r="D237" s="150" t="s">
        <v>65</v>
      </c>
      <c r="E237" s="17"/>
      <c r="F237" s="205">
        <f>COUNTA(E237)</f>
        <v>0</v>
      </c>
      <c r="G237" s="206" t="str">
        <f>IF(F237=1," ","Не заполнено")</f>
        <v>Не заполнено</v>
      </c>
      <c r="H237"/>
    </row>
    <row r="238" spans="1:8" ht="17.25" thickBot="1">
      <c r="A238" s="44" t="s">
        <v>154</v>
      </c>
      <c r="B238" s="309" t="s">
        <v>158</v>
      </c>
      <c r="C238" s="270"/>
      <c r="D238" s="150" t="s">
        <v>65</v>
      </c>
      <c r="E238" s="17"/>
      <c r="F238" s="205">
        <f>COUNTA(E238)</f>
        <v>0</v>
      </c>
      <c r="G238" s="206" t="str">
        <f>IF(F238=1," ","Не заполнено")</f>
        <v>Не заполнено</v>
      </c>
      <c r="H238" s="207">
        <f>IF(E238-(E396+E403+E409+E416+E422)&gt;=0,,"'НЕПРАВИЛЬНО! п.п.2.1.11. (кол-во ППО - юр. лиц) не может быть меньше суммы (п.п.5.4.1.+п.п.5.5.1.+п.п.5.6.1.+п.п.5.7.1.+п.п.5.8.1.)!")</f>
        <v>0</v>
      </c>
    </row>
    <row r="239" spans="1:8" ht="17.25" thickBot="1">
      <c r="A239" s="44" t="s">
        <v>159</v>
      </c>
      <c r="B239" s="309" t="s">
        <v>67</v>
      </c>
      <c r="C239" s="270"/>
      <c r="D239" s="150" t="s">
        <v>65</v>
      </c>
      <c r="E239" s="17"/>
      <c r="F239" s="205">
        <f>COUNTA(E239)</f>
        <v>0</v>
      </c>
      <c r="G239" s="206" t="str">
        <f>IF(F239=1," ","Не заполнено")</f>
        <v>Не заполнено</v>
      </c>
      <c r="H239" s="207">
        <f>IF(E239-(E241+E242)&gt;=0,,"'НЕПРАВИЛЬНО! п.п.2.1.12. (общ. кол-во созд. ППО) не может быть меньше суммы в т.ч. (в вузах+в СПО))!")</f>
        <v>0</v>
      </c>
    </row>
    <row r="240" spans="1:5" ht="15">
      <c r="A240" s="44"/>
      <c r="B240" s="247" t="s">
        <v>15</v>
      </c>
      <c r="C240" s="244"/>
      <c r="D240" s="150"/>
      <c r="E240" s="82" t="s">
        <v>53</v>
      </c>
    </row>
    <row r="241" spans="1:8" ht="16.5">
      <c r="A241" s="216" t="s">
        <v>402</v>
      </c>
      <c r="B241" s="88" t="s">
        <v>179</v>
      </c>
      <c r="C241" s="242" t="s">
        <v>176</v>
      </c>
      <c r="D241" s="150"/>
      <c r="E241" s="15"/>
      <c r="F241" s="205">
        <f>COUNTA(E241)</f>
        <v>0</v>
      </c>
      <c r="G241" s="206" t="str">
        <f>IF(F241=1," ","Не заполнено")</f>
        <v>Не заполнено</v>
      </c>
      <c r="H241"/>
    </row>
    <row r="242" spans="1:8" ht="17.25" thickBot="1">
      <c r="A242" s="216" t="s">
        <v>403</v>
      </c>
      <c r="B242" s="88" t="s">
        <v>179</v>
      </c>
      <c r="C242" s="242" t="s">
        <v>177</v>
      </c>
      <c r="D242" s="150"/>
      <c r="E242" s="13"/>
      <c r="F242" s="205">
        <f>COUNTA(E242)</f>
        <v>0</v>
      </c>
      <c r="G242" s="206" t="str">
        <f>IF(F242=1," ","Не заполнено")</f>
        <v>Не заполнено</v>
      </c>
      <c r="H242"/>
    </row>
    <row r="243" spans="1:5" ht="17.25" thickBot="1">
      <c r="A243" s="44" t="s">
        <v>175</v>
      </c>
      <c r="B243" s="309" t="s">
        <v>257</v>
      </c>
      <c r="C243" s="270"/>
      <c r="D243" s="150" t="s">
        <v>65</v>
      </c>
      <c r="E243" s="6">
        <f>E245+E249+E253</f>
        <v>0</v>
      </c>
    </row>
    <row r="244" spans="1:5" ht="15.75">
      <c r="A244" s="44"/>
      <c r="B244" s="102" t="s">
        <v>21</v>
      </c>
      <c r="C244" s="244"/>
      <c r="D244" s="150"/>
      <c r="E244" s="84" t="s">
        <v>53</v>
      </c>
    </row>
    <row r="245" spans="1:8" ht="15">
      <c r="A245" s="93" t="s">
        <v>178</v>
      </c>
      <c r="B245" s="168"/>
      <c r="C245" s="242" t="s">
        <v>633</v>
      </c>
      <c r="D245" s="150"/>
      <c r="E245" s="103">
        <f>E247+E248</f>
        <v>0</v>
      </c>
      <c r="F245" s="205"/>
      <c r="G245" s="206"/>
      <c r="H245" s="207">
        <f>IF(E245-(E113+E151+E189)&lt;=0,,"'НЕПРАВИЛЬНО! п.п.2.1.13.1. (объедин. орган. ВСЕГО) не может быть больше суммы (п.п.2.1.4.а)+п.п.2.1.4.1.а)+п.п.2.1.5.а))!")</f>
        <v>0</v>
      </c>
    </row>
    <row r="246" spans="1:8" ht="15">
      <c r="A246" s="94"/>
      <c r="B246" s="168"/>
      <c r="C246" s="4" t="s">
        <v>15</v>
      </c>
      <c r="D246" s="150"/>
      <c r="E246" s="84" t="s">
        <v>53</v>
      </c>
      <c r="F246" s="205"/>
      <c r="G246" s="206"/>
      <c r="H246" s="209"/>
    </row>
    <row r="247" spans="1:8" ht="16.5">
      <c r="A247" s="216" t="s">
        <v>400</v>
      </c>
      <c r="B247" s="88"/>
      <c r="C247" s="243" t="s">
        <v>634</v>
      </c>
      <c r="D247" s="150"/>
      <c r="E247" s="12"/>
      <c r="F247" s="205">
        <f>COUNTA(E247)</f>
        <v>0</v>
      </c>
      <c r="G247" s="206" t="str">
        <f>IF(F247=1," ","Не заполнено")</f>
        <v>Не заполнено</v>
      </c>
      <c r="H247" s="209"/>
    </row>
    <row r="248" spans="1:8" ht="16.5">
      <c r="A248" s="216" t="s">
        <v>401</v>
      </c>
      <c r="B248" s="88"/>
      <c r="C248" s="243" t="s">
        <v>635</v>
      </c>
      <c r="D248" s="150"/>
      <c r="E248" s="12"/>
      <c r="F248" s="205">
        <f>COUNTA(E248)</f>
        <v>0</v>
      </c>
      <c r="G248" s="206" t="str">
        <f>IF(F248=1," ","Не заполнено")</f>
        <v>Не заполнено</v>
      </c>
      <c r="H248" s="209"/>
    </row>
    <row r="249" spans="1:8" ht="15">
      <c r="A249" s="93" t="s">
        <v>185</v>
      </c>
      <c r="B249" s="168"/>
      <c r="C249" s="242" t="s">
        <v>636</v>
      </c>
      <c r="D249" s="150"/>
      <c r="E249" s="86"/>
      <c r="F249" s="205">
        <f>COUNTA(E249)</f>
        <v>0</v>
      </c>
      <c r="G249" s="206" t="str">
        <f>IF(F249=1," ","Не заполнено")</f>
        <v>Не заполнено</v>
      </c>
      <c r="H249" s="207">
        <f>IF(E249-(E251+E252)&gt;=0,,"'НЕПРАВИЛЬНО! п.п.2.1.13.2. (орг. работ. ВСЕГО) не может быть меньше суммы в т.ч. (в вузах+в СПО))!")</f>
        <v>0</v>
      </c>
    </row>
    <row r="250" spans="1:8" ht="15">
      <c r="A250" s="94"/>
      <c r="B250" s="168"/>
      <c r="C250" s="4" t="s">
        <v>15</v>
      </c>
      <c r="D250" s="150"/>
      <c r="E250" s="84" t="s">
        <v>53</v>
      </c>
      <c r="F250" s="205"/>
      <c r="G250" s="206"/>
      <c r="H250" s="209"/>
    </row>
    <row r="251" spans="1:8" ht="16.5">
      <c r="A251" s="216" t="s">
        <v>396</v>
      </c>
      <c r="B251" s="88"/>
      <c r="C251" s="243" t="s">
        <v>634</v>
      </c>
      <c r="D251" s="150"/>
      <c r="E251" s="12"/>
      <c r="F251" s="205">
        <f aca="true" t="shared" si="20" ref="F251:F256">COUNTA(E251)</f>
        <v>0</v>
      </c>
      <c r="G251" s="206" t="str">
        <f aca="true" t="shared" si="21" ref="G251:G256">IF(F251=1," ","Не заполнено")</f>
        <v>Не заполнено</v>
      </c>
      <c r="H251" s="209"/>
    </row>
    <row r="252" spans="1:8" ht="16.5">
      <c r="A252" s="216" t="s">
        <v>399</v>
      </c>
      <c r="B252" s="88"/>
      <c r="C252" s="243" t="s">
        <v>635</v>
      </c>
      <c r="D252" s="150"/>
      <c r="E252" s="12"/>
      <c r="F252" s="205">
        <f t="shared" si="20"/>
        <v>0</v>
      </c>
      <c r="G252" s="206" t="str">
        <f t="shared" si="21"/>
        <v>Не заполнено</v>
      </c>
      <c r="H252" s="209"/>
    </row>
    <row r="253" spans="1:8" ht="15.75" thickBot="1">
      <c r="A253" s="93" t="s">
        <v>188</v>
      </c>
      <c r="B253" s="168"/>
      <c r="C253" s="242" t="s">
        <v>637</v>
      </c>
      <c r="D253" s="150"/>
      <c r="E253" s="10">
        <f>E255+E256</f>
        <v>0</v>
      </c>
      <c r="F253" s="205"/>
      <c r="G253" s="206"/>
      <c r="H253" s="207">
        <f>IF(E253-(E128+E166+E200)&lt;=0,,"'НЕПРАВИЛЬНО! п.п.2.1.13.3. (орг. обуч. ВСЕГО) не может быть больше суммы (п.п.2.1.4.в)+п.п.2.1.4.1.в)+п.п.2.1.5.в))!")</f>
        <v>0</v>
      </c>
    </row>
    <row r="254" spans="1:8" ht="15">
      <c r="A254" s="95"/>
      <c r="B254" s="168"/>
      <c r="C254" s="4" t="s">
        <v>15</v>
      </c>
      <c r="D254" s="150"/>
      <c r="E254" s="82" t="s">
        <v>53</v>
      </c>
      <c r="F254" s="205"/>
      <c r="G254" s="206"/>
      <c r="H254" s="209"/>
    </row>
    <row r="255" spans="1:8" ht="15">
      <c r="A255" s="216" t="s">
        <v>397</v>
      </c>
      <c r="B255" s="89"/>
      <c r="C255" s="243" t="s">
        <v>634</v>
      </c>
      <c r="D255" s="150"/>
      <c r="E255" s="12"/>
      <c r="F255" s="205">
        <f t="shared" si="20"/>
        <v>0</v>
      </c>
      <c r="G255" s="206" t="str">
        <f t="shared" si="21"/>
        <v>Не заполнено</v>
      </c>
      <c r="H255" s="209"/>
    </row>
    <row r="256" spans="1:8" ht="17.25" thickBot="1">
      <c r="A256" s="216" t="s">
        <v>398</v>
      </c>
      <c r="B256" s="88"/>
      <c r="C256" s="243" t="s">
        <v>635</v>
      </c>
      <c r="D256" s="150"/>
      <c r="E256" s="13"/>
      <c r="F256" s="205">
        <f t="shared" si="20"/>
        <v>0</v>
      </c>
      <c r="G256" s="206" t="str">
        <f t="shared" si="21"/>
        <v>Не заполнено</v>
      </c>
      <c r="H256" s="209"/>
    </row>
    <row r="257" spans="1:8" ht="16.5" thickBot="1">
      <c r="A257" s="66" t="s">
        <v>20</v>
      </c>
      <c r="B257" s="317" t="s">
        <v>72</v>
      </c>
      <c r="C257" s="318"/>
      <c r="D257" s="151" t="s">
        <v>134</v>
      </c>
      <c r="E257" s="6">
        <f>E259+E268+E272</f>
        <v>0</v>
      </c>
      <c r="F257" s="70"/>
      <c r="G257" s="70"/>
      <c r="H257" s="70"/>
    </row>
    <row r="258" spans="1:5" ht="15.75" thickBot="1">
      <c r="A258" s="44"/>
      <c r="B258" s="247" t="s">
        <v>21</v>
      </c>
      <c r="C258" s="237"/>
      <c r="D258" s="133"/>
      <c r="E258" s="32" t="s">
        <v>53</v>
      </c>
    </row>
    <row r="259" spans="1:5" ht="17.25" thickBot="1">
      <c r="A259" s="45" t="s">
        <v>22</v>
      </c>
      <c r="B259" s="57"/>
      <c r="C259" s="48" t="s">
        <v>156</v>
      </c>
      <c r="D259" s="130"/>
      <c r="E259" s="6">
        <f>E102+E107+E114+E122+E152+E160+E190+E196+E218+E223+E228+E233</f>
        <v>0</v>
      </c>
    </row>
    <row r="260" spans="1:5" ht="15.75">
      <c r="A260" s="68"/>
      <c r="B260" s="90"/>
      <c r="C260" s="9" t="s">
        <v>182</v>
      </c>
      <c r="D260" s="130"/>
      <c r="E260" s="83" t="s">
        <v>53</v>
      </c>
    </row>
    <row r="261" spans="1:5" ht="15">
      <c r="A261" s="216" t="s">
        <v>389</v>
      </c>
      <c r="B261" s="90"/>
      <c r="C261" s="124" t="s">
        <v>186</v>
      </c>
      <c r="D261" s="130"/>
      <c r="E261" s="10">
        <f>E114+E122+E152+E160</f>
        <v>0</v>
      </c>
    </row>
    <row r="262" spans="1:5" ht="15">
      <c r="A262" s="216" t="s">
        <v>390</v>
      </c>
      <c r="B262" s="90"/>
      <c r="C262" s="124" t="s">
        <v>187</v>
      </c>
      <c r="D262" s="130"/>
      <c r="E262" s="10">
        <f>E190+E196</f>
        <v>0</v>
      </c>
    </row>
    <row r="263" spans="1:5" ht="15">
      <c r="A263" s="216" t="s">
        <v>391</v>
      </c>
      <c r="B263" s="247" t="s">
        <v>15</v>
      </c>
      <c r="C263" s="35" t="s">
        <v>130</v>
      </c>
      <c r="D263" s="130"/>
      <c r="E263" s="81">
        <f>E103+E108+E115+E123+E153+E161+E191+E197+E219+E234</f>
        <v>0</v>
      </c>
    </row>
    <row r="264" spans="1:5" ht="15">
      <c r="A264" s="216" t="s">
        <v>392</v>
      </c>
      <c r="B264" s="247"/>
      <c r="C264" s="4" t="s">
        <v>598</v>
      </c>
      <c r="D264" s="130"/>
      <c r="E264" s="78">
        <f>E104+E109+E116+E124+E154+E162+E192+E198+E220+E235</f>
        <v>0</v>
      </c>
    </row>
    <row r="265" spans="1:5" ht="15">
      <c r="A265" s="216" t="s">
        <v>393</v>
      </c>
      <c r="B265" s="247"/>
      <c r="C265" s="35" t="s">
        <v>131</v>
      </c>
      <c r="D265" s="130"/>
      <c r="E265" s="10">
        <f>E117+E125+E155+E163+E224+E229</f>
        <v>0</v>
      </c>
    </row>
    <row r="266" spans="1:5" ht="15">
      <c r="A266" s="216" t="s">
        <v>394</v>
      </c>
      <c r="B266" s="247"/>
      <c r="C266" s="4" t="s">
        <v>598</v>
      </c>
      <c r="D266" s="130"/>
      <c r="E266" s="10">
        <f>E118+E126+E156+E164+E225+E230</f>
        <v>0</v>
      </c>
    </row>
    <row r="267" spans="1:5" ht="15.75" thickBot="1">
      <c r="A267" s="216" t="s">
        <v>395</v>
      </c>
      <c r="B267" s="247" t="s">
        <v>122</v>
      </c>
      <c r="C267" s="55" t="s">
        <v>129</v>
      </c>
      <c r="D267" s="130"/>
      <c r="E267" s="79">
        <f>E264+E266</f>
        <v>0</v>
      </c>
    </row>
    <row r="268" spans="1:5" ht="17.25" thickBot="1">
      <c r="A268" s="45" t="s">
        <v>57</v>
      </c>
      <c r="B268" s="57"/>
      <c r="C268" s="48" t="s">
        <v>170</v>
      </c>
      <c r="D268" s="130"/>
      <c r="E268" s="6">
        <f>E119+E129+E157+E167+E193+E201</f>
        <v>0</v>
      </c>
    </row>
    <row r="269" spans="1:5" ht="15.75">
      <c r="A269" s="68"/>
      <c r="B269" s="90"/>
      <c r="C269" s="9" t="s">
        <v>182</v>
      </c>
      <c r="D269" s="130"/>
      <c r="E269" s="80" t="s">
        <v>53</v>
      </c>
    </row>
    <row r="270" spans="1:5" ht="15">
      <c r="A270" s="216" t="s">
        <v>387</v>
      </c>
      <c r="B270" s="90"/>
      <c r="C270" s="124" t="s">
        <v>186</v>
      </c>
      <c r="D270" s="130"/>
      <c r="E270" s="10">
        <f>E119+E129+E157+E167</f>
        <v>0</v>
      </c>
    </row>
    <row r="271" spans="1:5" ht="15.75" thickBot="1">
      <c r="A271" s="216" t="s">
        <v>388</v>
      </c>
      <c r="B271" s="90"/>
      <c r="C271" s="124" t="s">
        <v>187</v>
      </c>
      <c r="D271" s="130"/>
      <c r="E271" s="10">
        <f>E193+E201</f>
        <v>0</v>
      </c>
    </row>
    <row r="272" spans="1:5" ht="17.25" thickBot="1">
      <c r="A272" s="45" t="s">
        <v>58</v>
      </c>
      <c r="B272" s="57"/>
      <c r="C272" s="48" t="s">
        <v>59</v>
      </c>
      <c r="D272" s="151" t="s">
        <v>133</v>
      </c>
      <c r="E272" s="6">
        <f>E105+E110+E120+E127+E158+E165+E194+E199+E221+E226+E231+E236</f>
        <v>0</v>
      </c>
    </row>
    <row r="273" spans="1:5" ht="15.75">
      <c r="A273" s="68"/>
      <c r="B273" s="90"/>
      <c r="C273" s="9" t="s">
        <v>182</v>
      </c>
      <c r="D273" s="130"/>
      <c r="E273" s="80" t="s">
        <v>53</v>
      </c>
    </row>
    <row r="274" spans="1:5" ht="15">
      <c r="A274" s="216" t="s">
        <v>385</v>
      </c>
      <c r="B274" s="90"/>
      <c r="C274" s="124" t="s">
        <v>186</v>
      </c>
      <c r="D274" s="130"/>
      <c r="E274" s="10">
        <f>E120+E127+E158+E165</f>
        <v>0</v>
      </c>
    </row>
    <row r="275" spans="1:5" ht="15">
      <c r="A275" s="216" t="s">
        <v>386</v>
      </c>
      <c r="B275" s="90"/>
      <c r="C275" s="124" t="s">
        <v>187</v>
      </c>
      <c r="D275" s="130"/>
      <c r="E275" s="10">
        <f>E194+E199</f>
        <v>0</v>
      </c>
    </row>
    <row r="276" spans="1:5" ht="16.5" thickBot="1">
      <c r="A276" s="68" t="s">
        <v>138</v>
      </c>
      <c r="B276" s="289" t="s">
        <v>69</v>
      </c>
      <c r="C276" s="269"/>
      <c r="D276" s="152"/>
      <c r="E276" s="80" t="s">
        <v>53</v>
      </c>
    </row>
    <row r="277" spans="1:9" s="179" customFormat="1" ht="18" customHeight="1" thickBot="1">
      <c r="A277" s="187" t="s">
        <v>121</v>
      </c>
      <c r="B277" s="272" t="s">
        <v>384</v>
      </c>
      <c r="C277" s="285"/>
      <c r="D277" s="192"/>
      <c r="E277" s="193" t="e">
        <f>(E259+E268)/(E89+E94)</f>
        <v>#DIV/0!</v>
      </c>
      <c r="F277"/>
      <c r="G277" s="206"/>
      <c r="H277" s="210" t="e">
        <f>IF(E277&lt;=100%,0,"'НЕПРАВИЛЬНО! НЕ МОЖЕТ БЫТЬ больше 100%!")</f>
        <v>#DIV/0!</v>
      </c>
      <c r="I277"/>
    </row>
    <row r="278" spans="1:8" ht="16.5" thickBot="1">
      <c r="A278" s="45" t="s">
        <v>139</v>
      </c>
      <c r="B278" s="289" t="s">
        <v>68</v>
      </c>
      <c r="C278" s="269"/>
      <c r="D278" s="51"/>
      <c r="E278" s="31" t="s">
        <v>53</v>
      </c>
      <c r="F278"/>
      <c r="G278" s="206"/>
      <c r="H278" s="207"/>
    </row>
    <row r="279" spans="1:9" s="179" customFormat="1" ht="15.75" thickBot="1">
      <c r="A279" s="187" t="s">
        <v>92</v>
      </c>
      <c r="B279" s="286" t="s">
        <v>103</v>
      </c>
      <c r="C279" s="285"/>
      <c r="D279" s="36"/>
      <c r="E279" s="188" t="e">
        <f>E259/E89</f>
        <v>#DIV/0!</v>
      </c>
      <c r="F279"/>
      <c r="G279" s="206"/>
      <c r="H279" s="207" t="e">
        <f>IF(E279&lt;=100%,0,"'НЕПРАВИЛЬНО! НЕ МОЖЕТ БЫТЬ больше 100%!")</f>
        <v>#DIV/0!</v>
      </c>
      <c r="I279"/>
    </row>
    <row r="280" spans="1:9" s="179" customFormat="1" ht="15.75" customHeight="1" thickBot="1">
      <c r="A280" s="187" t="s">
        <v>93</v>
      </c>
      <c r="B280" s="278" t="s">
        <v>215</v>
      </c>
      <c r="C280" s="279"/>
      <c r="D280" s="189"/>
      <c r="E280" s="188" t="e">
        <f>E102/E27</f>
        <v>#DIV/0!</v>
      </c>
      <c r="F280"/>
      <c r="G280" s="206"/>
      <c r="H280" s="207" t="e">
        <f aca="true" t="shared" si="22" ref="H280:H291">IF(E280&lt;=100%,0,"'НЕПРАВИЛЬНО! НЕ МОЖЕТ БЫТЬ больше 100%!")</f>
        <v>#DIV/0!</v>
      </c>
      <c r="I280"/>
    </row>
    <row r="281" spans="1:9" s="179" customFormat="1" ht="15.75" customHeight="1" thickBot="1">
      <c r="A281" s="187" t="s">
        <v>86</v>
      </c>
      <c r="B281" s="278" t="s">
        <v>376</v>
      </c>
      <c r="C281" s="279"/>
      <c r="D281" s="189"/>
      <c r="E281" s="188" t="e">
        <f>E107/E31</f>
        <v>#DIV/0!</v>
      </c>
      <c r="F281"/>
      <c r="G281" s="206"/>
      <c r="H281" s="207" t="e">
        <f t="shared" si="22"/>
        <v>#DIV/0!</v>
      </c>
      <c r="I281"/>
    </row>
    <row r="282" spans="1:9" s="179" customFormat="1" ht="15.75" customHeight="1" thickBot="1">
      <c r="A282" s="187" t="s">
        <v>87</v>
      </c>
      <c r="B282" s="278" t="s">
        <v>377</v>
      </c>
      <c r="C282" s="279"/>
      <c r="D282" s="189"/>
      <c r="E282" s="188" t="e">
        <f>(E114+E122+E152+E160)/(E35+E50)</f>
        <v>#DIV/0!</v>
      </c>
      <c r="F282"/>
      <c r="G282" s="206"/>
      <c r="H282" s="207" t="e">
        <f t="shared" si="22"/>
        <v>#DIV/0!</v>
      </c>
      <c r="I282"/>
    </row>
    <row r="283" spans="1:9" s="179" customFormat="1" ht="15.75" customHeight="1" thickBot="1">
      <c r="A283" s="187" t="s">
        <v>80</v>
      </c>
      <c r="B283" s="278" t="s">
        <v>378</v>
      </c>
      <c r="C283" s="279"/>
      <c r="D283" s="189"/>
      <c r="E283" s="188" t="e">
        <f>(E190+E196)/E64</f>
        <v>#DIV/0!</v>
      </c>
      <c r="F283"/>
      <c r="G283" s="206"/>
      <c r="H283" s="207" t="e">
        <f t="shared" si="22"/>
        <v>#DIV/0!</v>
      </c>
      <c r="I283"/>
    </row>
    <row r="284" spans="1:9" s="179" customFormat="1" ht="15.75" customHeight="1" thickBot="1">
      <c r="A284" s="187" t="s">
        <v>81</v>
      </c>
      <c r="B284" s="278" t="s">
        <v>379</v>
      </c>
      <c r="C284" s="279"/>
      <c r="D284" s="189"/>
      <c r="E284" s="188" t="e">
        <f>E218/E74</f>
        <v>#DIV/0!</v>
      </c>
      <c r="F284"/>
      <c r="G284" s="206"/>
      <c r="H284" s="207" t="e">
        <f t="shared" si="22"/>
        <v>#DIV/0!</v>
      </c>
      <c r="I284"/>
    </row>
    <row r="285" spans="1:9" s="179" customFormat="1" ht="15.75" customHeight="1" thickBot="1">
      <c r="A285" s="187" t="s">
        <v>82</v>
      </c>
      <c r="B285" s="278" t="s">
        <v>143</v>
      </c>
      <c r="C285" s="279"/>
      <c r="D285" s="189"/>
      <c r="E285" s="188" t="e">
        <f>E223/E78</f>
        <v>#DIV/0!</v>
      </c>
      <c r="F285"/>
      <c r="G285" s="206"/>
      <c r="H285" s="207" t="e">
        <f t="shared" si="22"/>
        <v>#DIV/0!</v>
      </c>
      <c r="I285"/>
    </row>
    <row r="286" spans="1:9" s="179" customFormat="1" ht="15.75" thickBot="1">
      <c r="A286" s="187" t="s">
        <v>83</v>
      </c>
      <c r="B286" s="278" t="s">
        <v>171</v>
      </c>
      <c r="C286" s="279"/>
      <c r="D286" s="189"/>
      <c r="E286" s="188" t="e">
        <f>E268/E94</f>
        <v>#DIV/0!</v>
      </c>
      <c r="F286"/>
      <c r="G286" s="206"/>
      <c r="H286" s="207" t="e">
        <f t="shared" si="22"/>
        <v>#DIV/0!</v>
      </c>
      <c r="I286"/>
    </row>
    <row r="287" spans="1:9" s="179" customFormat="1" ht="15.75" thickBot="1">
      <c r="A287" s="187" t="s">
        <v>94</v>
      </c>
      <c r="B287" s="278" t="s">
        <v>132</v>
      </c>
      <c r="C287" s="279"/>
      <c r="D287" s="190"/>
      <c r="E287" s="188" t="e">
        <f>E263/E90</f>
        <v>#DIV/0!</v>
      </c>
      <c r="F287"/>
      <c r="G287" s="206"/>
      <c r="H287" s="207" t="e">
        <f t="shared" si="22"/>
        <v>#DIV/0!</v>
      </c>
      <c r="I287"/>
    </row>
    <row r="288" spans="1:9" s="179" customFormat="1" ht="15.75" thickBot="1">
      <c r="A288" s="218" t="s">
        <v>258</v>
      </c>
      <c r="B288" s="275" t="s">
        <v>380</v>
      </c>
      <c r="C288" s="276"/>
      <c r="D288" s="190"/>
      <c r="E288" s="188" t="e">
        <f>E264/E91</f>
        <v>#DIV/0!</v>
      </c>
      <c r="F288"/>
      <c r="G288" s="206"/>
      <c r="H288" s="207" t="e">
        <f t="shared" si="22"/>
        <v>#DIV/0!</v>
      </c>
      <c r="I288"/>
    </row>
    <row r="289" spans="1:9" s="179" customFormat="1" ht="15.75" thickBot="1">
      <c r="A289" s="191" t="s">
        <v>95</v>
      </c>
      <c r="B289" s="278" t="s">
        <v>381</v>
      </c>
      <c r="C289" s="279"/>
      <c r="D289" s="190"/>
      <c r="E289" s="188" t="e">
        <f>E265/E92</f>
        <v>#DIV/0!</v>
      </c>
      <c r="F289"/>
      <c r="G289" s="206"/>
      <c r="H289" s="207" t="e">
        <f t="shared" si="22"/>
        <v>#DIV/0!</v>
      </c>
      <c r="I289"/>
    </row>
    <row r="290" spans="1:9" s="179" customFormat="1" ht="15.75" thickBot="1">
      <c r="A290" s="218" t="s">
        <v>153</v>
      </c>
      <c r="B290" s="275" t="s">
        <v>382</v>
      </c>
      <c r="C290" s="276"/>
      <c r="D290" s="190"/>
      <c r="E290" s="188" t="e">
        <f>E266/E93</f>
        <v>#DIV/0!</v>
      </c>
      <c r="F290"/>
      <c r="G290" s="206"/>
      <c r="H290" s="207" t="e">
        <f t="shared" si="22"/>
        <v>#DIV/0!</v>
      </c>
      <c r="I290"/>
    </row>
    <row r="291" spans="1:9" s="179" customFormat="1" ht="15.75" thickBot="1">
      <c r="A291" s="187" t="s">
        <v>96</v>
      </c>
      <c r="B291" s="286" t="s">
        <v>383</v>
      </c>
      <c r="C291" s="285"/>
      <c r="D291" s="36" t="s">
        <v>133</v>
      </c>
      <c r="E291" s="188" t="e">
        <f>E267/(E91+E93)</f>
        <v>#DIV/0!</v>
      </c>
      <c r="F291"/>
      <c r="G291" s="33"/>
      <c r="H291" s="207" t="e">
        <f t="shared" si="22"/>
        <v>#DIV/0!</v>
      </c>
      <c r="I291"/>
    </row>
    <row r="292" spans="1:8" ht="16.5" thickBot="1">
      <c r="A292" s="68" t="s">
        <v>140</v>
      </c>
      <c r="B292" s="289" t="s">
        <v>147</v>
      </c>
      <c r="C292" s="269"/>
      <c r="D292" s="130" t="s">
        <v>133</v>
      </c>
      <c r="E292" s="6">
        <f>E294+E298</f>
        <v>0</v>
      </c>
      <c r="F292"/>
      <c r="G292" s="206"/>
      <c r="H292" s="207"/>
    </row>
    <row r="293" spans="1:8" ht="16.5" thickBot="1">
      <c r="A293" s="68"/>
      <c r="B293" s="76" t="s">
        <v>640</v>
      </c>
      <c r="C293" s="239"/>
      <c r="D293" s="130"/>
      <c r="E293" s="77" t="s">
        <v>53</v>
      </c>
      <c r="F293"/>
      <c r="G293" s="33"/>
      <c r="H293" s="207"/>
    </row>
    <row r="294" spans="1:8" ht="15.75" thickBot="1">
      <c r="A294" s="44" t="s">
        <v>180</v>
      </c>
      <c r="B294" s="90"/>
      <c r="C294" s="9" t="s">
        <v>259</v>
      </c>
      <c r="D294" s="130"/>
      <c r="E294" s="17"/>
      <c r="F294" s="205">
        <f>COUNTA(E294)</f>
        <v>0</v>
      </c>
      <c r="G294" s="206" t="str">
        <f>IF(F294=1," ","Не заполнено")</f>
        <v>Не заполнено</v>
      </c>
      <c r="H294" s="207">
        <f>IF(E294-(E296+E297)&gt;=0,,"'НЕПРАВИЛЬНО! п.п.2.5.1. (работ. ВСЕГО) не может быть меньше суммы из них: (в вузах+в СПО))!")</f>
        <v>0</v>
      </c>
    </row>
    <row r="295" spans="1:8" ht="15.75">
      <c r="A295" s="68"/>
      <c r="B295" s="90"/>
      <c r="C295" s="252" t="s">
        <v>21</v>
      </c>
      <c r="D295" s="130"/>
      <c r="E295" s="77" t="s">
        <v>53</v>
      </c>
      <c r="F295" s="205"/>
      <c r="G295" s="206"/>
      <c r="H295"/>
    </row>
    <row r="296" spans="1:8" ht="15">
      <c r="A296" s="216" t="s">
        <v>374</v>
      </c>
      <c r="B296" s="90"/>
      <c r="C296" s="125" t="s">
        <v>186</v>
      </c>
      <c r="D296" s="130"/>
      <c r="E296" s="12"/>
      <c r="F296" s="205">
        <f>COUNTA(E296)</f>
        <v>0</v>
      </c>
      <c r="G296" s="206" t="str">
        <f>IF(F296=1," ","Не заполнено")</f>
        <v>Не заполнено</v>
      </c>
      <c r="H296"/>
    </row>
    <row r="297" spans="1:8" ht="15.75" thickBot="1">
      <c r="A297" s="216" t="s">
        <v>375</v>
      </c>
      <c r="B297" s="90"/>
      <c r="C297" s="125" t="s">
        <v>187</v>
      </c>
      <c r="D297" s="130"/>
      <c r="E297" s="14"/>
      <c r="F297" s="205">
        <f>COUNTA(E297)</f>
        <v>0</v>
      </c>
      <c r="G297" s="206" t="str">
        <f>IF(F297=1," ","Не заполнено")</f>
        <v>Не заполнено</v>
      </c>
      <c r="H297"/>
    </row>
    <row r="298" spans="1:8" ht="15.75" thickBot="1">
      <c r="A298" s="44" t="s">
        <v>181</v>
      </c>
      <c r="B298" s="91"/>
      <c r="C298" s="253" t="s">
        <v>260</v>
      </c>
      <c r="D298" s="153"/>
      <c r="E298" s="6">
        <f>E300+E301</f>
        <v>0</v>
      </c>
      <c r="F298" s="205"/>
      <c r="G298" s="206"/>
      <c r="H298" s="207"/>
    </row>
    <row r="299" spans="1:8" ht="15">
      <c r="A299" s="44"/>
      <c r="B299" s="91"/>
      <c r="C299" s="252" t="s">
        <v>196</v>
      </c>
      <c r="D299" s="153"/>
      <c r="E299" s="38" t="s">
        <v>53</v>
      </c>
      <c r="F299" s="205"/>
      <c r="G299" s="206"/>
      <c r="H299"/>
    </row>
    <row r="300" spans="1:8" ht="15">
      <c r="A300" s="216" t="s">
        <v>372</v>
      </c>
      <c r="B300" s="91"/>
      <c r="C300" s="125" t="s">
        <v>186</v>
      </c>
      <c r="D300" s="153"/>
      <c r="E300" s="12"/>
      <c r="F300" s="205">
        <f>COUNTA(E300)</f>
        <v>0</v>
      </c>
      <c r="G300" s="206" t="str">
        <f>IF(F300=1," ","Не заполнено")</f>
        <v>Не заполнено</v>
      </c>
      <c r="H300"/>
    </row>
    <row r="301" spans="1:8" ht="15">
      <c r="A301" s="216" t="s">
        <v>373</v>
      </c>
      <c r="B301" s="91"/>
      <c r="C301" s="125" t="s">
        <v>187</v>
      </c>
      <c r="D301" s="153"/>
      <c r="E301" s="14"/>
      <c r="F301" s="205">
        <f>COUNTA(E301)</f>
        <v>0</v>
      </c>
      <c r="G301" s="206" t="str">
        <f>IF(F301=1," ","Не заполнено")</f>
        <v>Не заполнено</v>
      </c>
      <c r="H301"/>
    </row>
    <row r="302" spans="1:8" ht="15.75" thickBot="1">
      <c r="A302" s="216" t="s">
        <v>585</v>
      </c>
      <c r="B302" s="91"/>
      <c r="C302" s="194" t="s">
        <v>586</v>
      </c>
      <c r="D302" s="153"/>
      <c r="E302" s="13"/>
      <c r="F302" s="205">
        <f>COUNTA(E302)</f>
        <v>0</v>
      </c>
      <c r="G302" s="206" t="str">
        <f>IF(F302=1," ","Не заполнено")</f>
        <v>Не заполнено</v>
      </c>
      <c r="H302"/>
    </row>
    <row r="303" spans="1:8" ht="16.5" thickBot="1">
      <c r="A303" s="45" t="s">
        <v>141</v>
      </c>
      <c r="B303" s="289" t="s">
        <v>191</v>
      </c>
      <c r="C303" s="269"/>
      <c r="D303" s="130" t="s">
        <v>133</v>
      </c>
      <c r="E303" s="6">
        <f>E305+E309+E313</f>
        <v>0</v>
      </c>
      <c r="F303" s="33"/>
      <c r="G303" s="33"/>
      <c r="H303" s="33"/>
    </row>
    <row r="304" spans="1:8" ht="15.75" thickBot="1">
      <c r="A304" s="45"/>
      <c r="B304" s="76" t="s">
        <v>640</v>
      </c>
      <c r="C304" s="239"/>
      <c r="D304" s="130"/>
      <c r="E304" s="77" t="s">
        <v>53</v>
      </c>
      <c r="F304" s="33"/>
      <c r="G304" s="33"/>
      <c r="H304" s="33"/>
    </row>
    <row r="305" spans="1:8" ht="15.75" thickBot="1">
      <c r="A305" s="44" t="s">
        <v>197</v>
      </c>
      <c r="B305" s="90"/>
      <c r="C305" s="9" t="s">
        <v>259</v>
      </c>
      <c r="D305" s="130"/>
      <c r="E305" s="17"/>
      <c r="F305" s="205">
        <f>COUNTA(E305)</f>
        <v>0</v>
      </c>
      <c r="G305" s="206" t="str">
        <f>IF(F305=1," ","Не заполнено")</f>
        <v>Не заполнено</v>
      </c>
      <c r="H305" s="207">
        <f>IF(E305-(E307+E308)&gt;=0,,"'НЕПРАВИЛЬНО! п.п.2.6.1. (работ. ВСЕГО) не может быть меньше суммы из них: (в вузах+в СПО))!")</f>
        <v>0</v>
      </c>
    </row>
    <row r="306" spans="1:8" ht="15">
      <c r="A306" s="45"/>
      <c r="B306" s="90"/>
      <c r="C306" s="252" t="s">
        <v>21</v>
      </c>
      <c r="D306" s="130"/>
      <c r="E306" s="77" t="s">
        <v>53</v>
      </c>
      <c r="F306" s="205"/>
      <c r="G306" s="206"/>
      <c r="H306" s="207"/>
    </row>
    <row r="307" spans="1:8" ht="15">
      <c r="A307" s="216" t="s">
        <v>370</v>
      </c>
      <c r="B307" s="90"/>
      <c r="C307" s="125" t="s">
        <v>186</v>
      </c>
      <c r="D307" s="130"/>
      <c r="E307" s="12"/>
      <c r="F307" s="205">
        <f>COUNTA(E307)</f>
        <v>0</v>
      </c>
      <c r="G307" s="206" t="str">
        <f>IF(F307=1," ","Не заполнено")</f>
        <v>Не заполнено</v>
      </c>
      <c r="H307" s="207"/>
    </row>
    <row r="308" spans="1:8" ht="15.75" thickBot="1">
      <c r="A308" s="216" t="s">
        <v>371</v>
      </c>
      <c r="B308" s="90"/>
      <c r="C308" s="125" t="s">
        <v>187</v>
      </c>
      <c r="D308" s="130"/>
      <c r="E308" s="14"/>
      <c r="F308" s="205">
        <f>COUNTA(E308)</f>
        <v>0</v>
      </c>
      <c r="G308" s="206" t="str">
        <f>IF(F308=1," ","Не заполнено")</f>
        <v>Не заполнено</v>
      </c>
      <c r="H308" s="207"/>
    </row>
    <row r="309" spans="1:8" ht="15.75" thickBot="1">
      <c r="A309" s="44" t="s">
        <v>198</v>
      </c>
      <c r="B309" s="91"/>
      <c r="C309" s="253" t="s">
        <v>260</v>
      </c>
      <c r="D309" s="153"/>
      <c r="E309" s="6">
        <f>E311+E312</f>
        <v>0</v>
      </c>
      <c r="F309" s="205"/>
      <c r="G309" s="206"/>
      <c r="H309" s="207"/>
    </row>
    <row r="310" spans="1:8" ht="15.75">
      <c r="A310" s="68"/>
      <c r="B310" s="91"/>
      <c r="C310" s="252" t="s">
        <v>21</v>
      </c>
      <c r="D310" s="153"/>
      <c r="E310" s="38" t="s">
        <v>53</v>
      </c>
      <c r="F310" s="205"/>
      <c r="G310" s="206"/>
      <c r="H310"/>
    </row>
    <row r="311" spans="1:8" ht="15">
      <c r="A311" s="216" t="s">
        <v>368</v>
      </c>
      <c r="B311" s="91"/>
      <c r="C311" s="125" t="s">
        <v>186</v>
      </c>
      <c r="D311" s="153"/>
      <c r="E311" s="12"/>
      <c r="F311" s="205">
        <f>COUNTA(E311)</f>
        <v>0</v>
      </c>
      <c r="G311" s="206" t="str">
        <f>IF(F311=1," ","Не заполнено")</f>
        <v>Не заполнено</v>
      </c>
      <c r="H311"/>
    </row>
    <row r="312" spans="1:8" ht="15.75" thickBot="1">
      <c r="A312" s="216" t="s">
        <v>369</v>
      </c>
      <c r="B312" s="91"/>
      <c r="C312" s="125" t="s">
        <v>187</v>
      </c>
      <c r="D312" s="153"/>
      <c r="E312" s="13"/>
      <c r="F312" s="205">
        <f>COUNTA(E312)</f>
        <v>0</v>
      </c>
      <c r="G312" s="206" t="str">
        <f>IF(F312=1," ","Не заполнено")</f>
        <v>Не заполнено</v>
      </c>
      <c r="H312"/>
    </row>
    <row r="313" spans="1:8" ht="15.75" thickBot="1">
      <c r="A313" s="44" t="s">
        <v>210</v>
      </c>
      <c r="B313" s="91"/>
      <c r="C313" s="245" t="s">
        <v>261</v>
      </c>
      <c r="D313" s="153"/>
      <c r="E313" s="17"/>
      <c r="F313" s="205">
        <f>COUNTA(E313)</f>
        <v>0</v>
      </c>
      <c r="G313" s="206" t="str">
        <f>IF(F313=1," ","Не заполнено")</f>
        <v>Не заполнено</v>
      </c>
      <c r="H313"/>
    </row>
    <row r="314" spans="1:5" ht="16.5" thickBot="1">
      <c r="A314" s="68" t="s">
        <v>216</v>
      </c>
      <c r="B314" s="313" t="s">
        <v>70</v>
      </c>
      <c r="C314" s="314"/>
      <c r="D314" s="150" t="s">
        <v>133</v>
      </c>
      <c r="E314" s="34">
        <f>E316+E320+E324</f>
        <v>0</v>
      </c>
    </row>
    <row r="315" spans="1:8" ht="15.75" thickBot="1">
      <c r="A315" s="45"/>
      <c r="B315" s="76" t="s">
        <v>640</v>
      </c>
      <c r="C315" s="239"/>
      <c r="D315" s="154"/>
      <c r="E315" s="31" t="s">
        <v>53</v>
      </c>
      <c r="F315" s="33"/>
      <c r="G315" s="33"/>
      <c r="H315" s="33"/>
    </row>
    <row r="316" spans="1:8" ht="15.75" thickBot="1">
      <c r="A316" s="44" t="s">
        <v>199</v>
      </c>
      <c r="B316" s="90"/>
      <c r="C316" s="9" t="s">
        <v>259</v>
      </c>
      <c r="D316" s="130"/>
      <c r="E316" s="17"/>
      <c r="F316" s="205">
        <f>COUNTA(E316)</f>
        <v>0</v>
      </c>
      <c r="G316" s="206" t="str">
        <f>IF(F316=1," ","Не заполнено")</f>
        <v>Не заполнено</v>
      </c>
      <c r="H316" s="207">
        <f>IF(E316-(E318+E319)&gt;=0,,"'НЕПРАВИЛЬНО! п.п.2.7.1. (работ. ВСЕГО) не может быть меньше суммы из них: (в вузах+в СПО))!")</f>
        <v>0</v>
      </c>
    </row>
    <row r="317" spans="1:8" ht="15">
      <c r="A317" s="45"/>
      <c r="B317" s="90"/>
      <c r="C317" s="252" t="s">
        <v>21</v>
      </c>
      <c r="D317" s="130"/>
      <c r="E317" s="77" t="s">
        <v>53</v>
      </c>
      <c r="F317" s="205"/>
      <c r="G317" s="206"/>
      <c r="H317" s="207"/>
    </row>
    <row r="318" spans="1:8" ht="15">
      <c r="A318" s="216" t="s">
        <v>366</v>
      </c>
      <c r="B318" s="90"/>
      <c r="C318" s="125" t="s">
        <v>186</v>
      </c>
      <c r="D318" s="130"/>
      <c r="E318" s="12"/>
      <c r="F318" s="205">
        <f>COUNTA(E318)</f>
        <v>0</v>
      </c>
      <c r="G318" s="206" t="str">
        <f>IF(F318=1," ","Не заполнено")</f>
        <v>Не заполнено</v>
      </c>
      <c r="H318" s="207"/>
    </row>
    <row r="319" spans="1:8" ht="15.75" thickBot="1">
      <c r="A319" s="216" t="s">
        <v>367</v>
      </c>
      <c r="B319" s="90"/>
      <c r="C319" s="125" t="s">
        <v>187</v>
      </c>
      <c r="D319" s="130"/>
      <c r="E319" s="14"/>
      <c r="F319" s="205">
        <f>COUNTA(E319)</f>
        <v>0</v>
      </c>
      <c r="G319" s="206" t="str">
        <f>IF(F319=1," ","Не заполнено")</f>
        <v>Не заполнено</v>
      </c>
      <c r="H319" s="207"/>
    </row>
    <row r="320" spans="1:8" ht="15.75" thickBot="1">
      <c r="A320" s="44" t="s">
        <v>200</v>
      </c>
      <c r="B320" s="91"/>
      <c r="C320" s="253" t="s">
        <v>260</v>
      </c>
      <c r="D320" s="153"/>
      <c r="E320" s="6">
        <f>E322+E323</f>
        <v>0</v>
      </c>
      <c r="F320" s="205"/>
      <c r="G320" s="206"/>
      <c r="H320" s="207"/>
    </row>
    <row r="321" spans="1:8" ht="15.75">
      <c r="A321" s="68"/>
      <c r="B321" s="91"/>
      <c r="C321" s="252" t="s">
        <v>196</v>
      </c>
      <c r="D321" s="153"/>
      <c r="E321" s="38" t="s">
        <v>53</v>
      </c>
      <c r="F321" s="205"/>
      <c r="G321" s="206"/>
      <c r="H321" s="207"/>
    </row>
    <row r="322" spans="1:8" ht="15">
      <c r="A322" s="216" t="s">
        <v>364</v>
      </c>
      <c r="B322" s="91"/>
      <c r="C322" s="125" t="s">
        <v>186</v>
      </c>
      <c r="D322" s="153"/>
      <c r="E322" s="12"/>
      <c r="F322" s="205">
        <f>COUNTA(E322)</f>
        <v>0</v>
      </c>
      <c r="G322" s="206" t="str">
        <f>IF(F322=1," ","Не заполнено")</f>
        <v>Не заполнено</v>
      </c>
      <c r="H322"/>
    </row>
    <row r="323" spans="1:8" ht="15.75" thickBot="1">
      <c r="A323" s="216" t="s">
        <v>365</v>
      </c>
      <c r="B323" s="91"/>
      <c r="C323" s="125" t="s">
        <v>187</v>
      </c>
      <c r="D323" s="153"/>
      <c r="E323" s="13"/>
      <c r="F323" s="205">
        <f>COUNTA(E323)</f>
        <v>0</v>
      </c>
      <c r="G323" s="206" t="str">
        <f>IF(F323=1," ","Не заполнено")</f>
        <v>Не заполнено</v>
      </c>
      <c r="H323"/>
    </row>
    <row r="324" spans="1:8" ht="15.75" thickBot="1">
      <c r="A324" s="44" t="s">
        <v>211</v>
      </c>
      <c r="B324" s="91"/>
      <c r="C324" s="245" t="s">
        <v>261</v>
      </c>
      <c r="D324" s="155"/>
      <c r="E324" s="17"/>
      <c r="F324" s="205">
        <f>COUNTA(E324)</f>
        <v>0</v>
      </c>
      <c r="G324" s="206" t="str">
        <f>IF(F324=1," ","Не заполнено")</f>
        <v>Не заполнено</v>
      </c>
      <c r="H324"/>
    </row>
    <row r="325" spans="1:9" s="163" customFormat="1" ht="19.5" thickBot="1">
      <c r="A325" s="50" t="s">
        <v>23</v>
      </c>
      <c r="B325" s="280" t="s">
        <v>262</v>
      </c>
      <c r="C325" s="281"/>
      <c r="D325" s="161"/>
      <c r="E325" s="162" t="s">
        <v>53</v>
      </c>
      <c r="I325"/>
    </row>
    <row r="326" spans="1:9" s="110" customFormat="1" ht="15.75" customHeight="1" thickBot="1">
      <c r="A326" s="165" t="s">
        <v>24</v>
      </c>
      <c r="B326" s="290" t="s">
        <v>263</v>
      </c>
      <c r="C326" s="291"/>
      <c r="D326" s="166"/>
      <c r="E326" s="167"/>
      <c r="F326" s="205">
        <f>COUNTA(E326)</f>
        <v>0</v>
      </c>
      <c r="G326" s="206" t="str">
        <f>IF(F326=1," ","Не заполнено")</f>
        <v>Не заполнено</v>
      </c>
      <c r="H326" s="207">
        <f>IF(E326-(E346+E389)=0,,"'НЕПРАВИЛЬНО! НЕ РАВНО сумме (п.п.4.1.2.1.+п.п.5.3.1.)!")</f>
        <v>0</v>
      </c>
      <c r="I326"/>
    </row>
    <row r="327" spans="1:8" ht="15.75" customHeight="1" thickBot="1">
      <c r="A327" s="262" t="s">
        <v>362</v>
      </c>
      <c r="B327" s="256" t="s">
        <v>15</v>
      </c>
      <c r="C327" s="256" t="s">
        <v>604</v>
      </c>
      <c r="D327" s="24"/>
      <c r="E327" s="17"/>
      <c r="F327" s="205">
        <f>COUNTA(E327)</f>
        <v>0</v>
      </c>
      <c r="G327" s="206" t="str">
        <f>IF(F327=1," ","Не заполнено")</f>
        <v>Не заполнено</v>
      </c>
      <c r="H327" s="207">
        <f>IF(E327-E389&gt;=0,,"'НЕПРАВИЛЬНО! п.п.3.1. в т.ч. (кол-во терр. орг. - юр. лиц) не может быть меньше п.п.5.3.1.)!")</f>
        <v>0</v>
      </c>
    </row>
    <row r="328" spans="1:8" ht="14.25" customHeight="1" thickBot="1">
      <c r="A328" s="282" t="s">
        <v>71</v>
      </c>
      <c r="B328" s="283"/>
      <c r="C328" s="283"/>
      <c r="D328" s="131"/>
      <c r="E328" s="38" t="s">
        <v>53</v>
      </c>
      <c r="F328" s="205"/>
      <c r="G328" s="206"/>
      <c r="H328"/>
    </row>
    <row r="329" spans="1:8" ht="19.5" thickBot="1">
      <c r="A329" s="214" t="s">
        <v>363</v>
      </c>
      <c r="B329" s="315" t="s">
        <v>264</v>
      </c>
      <c r="C329" s="316"/>
      <c r="D329" s="156"/>
      <c r="E329" s="49"/>
      <c r="F329" s="205">
        <f>COUNTA(E329)</f>
        <v>0</v>
      </c>
      <c r="G329" s="206" t="str">
        <f>IF(F329=1," ","Не заполнено")</f>
        <v>Не заполнено</v>
      </c>
      <c r="H329"/>
    </row>
    <row r="330" spans="1:9" s="163" customFormat="1" ht="19.5" thickBot="1">
      <c r="A330" s="50" t="s">
        <v>25</v>
      </c>
      <c r="B330" s="280" t="s">
        <v>639</v>
      </c>
      <c r="C330" s="281"/>
      <c r="D330" s="164"/>
      <c r="E330" s="162" t="s">
        <v>53</v>
      </c>
      <c r="I330"/>
    </row>
    <row r="331" spans="1:9" s="110" customFormat="1" ht="17.25" thickBot="1">
      <c r="A331" s="113" t="s">
        <v>26</v>
      </c>
      <c r="B331" s="290" t="s">
        <v>313</v>
      </c>
      <c r="C331" s="291"/>
      <c r="D331" s="157" t="s">
        <v>133</v>
      </c>
      <c r="E331" s="112">
        <f>E332+E345+E356</f>
        <v>0</v>
      </c>
      <c r="I331"/>
    </row>
    <row r="332" spans="1:5" ht="16.5" thickBot="1">
      <c r="A332" s="68" t="s">
        <v>104</v>
      </c>
      <c r="B332" s="319" t="s">
        <v>265</v>
      </c>
      <c r="C332" s="319"/>
      <c r="D332" s="130"/>
      <c r="E332" s="224">
        <f>E333+E335+E336+E337+E338+E339+E340+E341+E342+E343+E344</f>
        <v>0</v>
      </c>
    </row>
    <row r="333" spans="1:8" ht="15">
      <c r="A333" s="44" t="s">
        <v>183</v>
      </c>
      <c r="B333" s="247" t="s">
        <v>286</v>
      </c>
      <c r="C333" s="4"/>
      <c r="D333" s="146"/>
      <c r="E333" s="260"/>
      <c r="F333" s="205">
        <f aca="true" t="shared" si="23" ref="F333:F355">COUNTA(E333)</f>
        <v>0</v>
      </c>
      <c r="G333" s="206" t="str">
        <f aca="true" t="shared" si="24" ref="G333:G355">IF(F333=1," ","Не заполнено")</f>
        <v>Не заполнено</v>
      </c>
      <c r="H333" s="207">
        <f>IF(E96-(E333+E396+E403+E409+E416+E422)=0,,"'НЕПРАВИЛЬНО! сумма (п.п.4.1.1.1.+п.п.5.4.1.+п.п.5.5.1.+п.п.5.6.1.+п.п.5.7.1.+п.п.5.8.1.) НЕ РАВНА п.2.1.!")</f>
        <v>0</v>
      </c>
    </row>
    <row r="334" spans="1:8" ht="15">
      <c r="A334" s="214" t="s">
        <v>361</v>
      </c>
      <c r="B334" s="310" t="s">
        <v>605</v>
      </c>
      <c r="C334" s="310"/>
      <c r="D334" s="146"/>
      <c r="E334" s="260"/>
      <c r="F334" s="205">
        <f t="shared" si="23"/>
        <v>0</v>
      </c>
      <c r="G334" s="206" t="str">
        <f t="shared" si="24"/>
        <v>Не заполнено</v>
      </c>
      <c r="H334"/>
    </row>
    <row r="335" spans="1:8" ht="15">
      <c r="A335" s="44" t="s">
        <v>276</v>
      </c>
      <c r="B335" s="242" t="s">
        <v>616</v>
      </c>
      <c r="C335" s="242"/>
      <c r="D335" s="146"/>
      <c r="E335" s="260"/>
      <c r="F335" s="205">
        <f t="shared" si="23"/>
        <v>0</v>
      </c>
      <c r="G335" s="206" t="str">
        <f t="shared" si="24"/>
        <v>Не заполнено</v>
      </c>
      <c r="H335"/>
    </row>
    <row r="336" spans="1:8" ht="15">
      <c r="A336" s="44" t="s">
        <v>277</v>
      </c>
      <c r="B336" s="55" t="s">
        <v>647</v>
      </c>
      <c r="C336" s="242"/>
      <c r="D336" s="146"/>
      <c r="E336" s="260"/>
      <c r="F336" s="205">
        <f t="shared" si="23"/>
        <v>0</v>
      </c>
      <c r="G336" s="206" t="str">
        <f t="shared" si="24"/>
        <v>Не заполнено</v>
      </c>
      <c r="H336"/>
    </row>
    <row r="337" spans="1:8" ht="15">
      <c r="A337" s="44" t="s">
        <v>278</v>
      </c>
      <c r="B337" s="4" t="s">
        <v>266</v>
      </c>
      <c r="C337" s="242"/>
      <c r="D337" s="146"/>
      <c r="E337" s="260"/>
      <c r="F337" s="205">
        <f t="shared" si="23"/>
        <v>0</v>
      </c>
      <c r="G337" s="206" t="str">
        <f t="shared" si="24"/>
        <v>Не заполнено</v>
      </c>
      <c r="H337"/>
    </row>
    <row r="338" spans="1:8" ht="15">
      <c r="A338" s="44" t="s">
        <v>279</v>
      </c>
      <c r="B338" s="55" t="s">
        <v>646</v>
      </c>
      <c r="C338" s="242"/>
      <c r="D338" s="146"/>
      <c r="E338" s="260"/>
      <c r="F338" s="205">
        <f t="shared" si="23"/>
        <v>0</v>
      </c>
      <c r="G338" s="206" t="str">
        <f t="shared" si="24"/>
        <v>Не заполнено</v>
      </c>
      <c r="H338"/>
    </row>
    <row r="339" spans="1:8" ht="15">
      <c r="A339" s="44" t="s">
        <v>280</v>
      </c>
      <c r="B339" s="55" t="s">
        <v>267</v>
      </c>
      <c r="C339" s="242"/>
      <c r="D339" s="146"/>
      <c r="E339" s="260"/>
      <c r="F339" s="205">
        <f t="shared" si="23"/>
        <v>0</v>
      </c>
      <c r="G339" s="206" t="str">
        <f t="shared" si="24"/>
        <v>Не заполнено</v>
      </c>
      <c r="H339" s="207"/>
    </row>
    <row r="340" spans="1:8" ht="15">
      <c r="A340" s="44" t="s">
        <v>281</v>
      </c>
      <c r="B340" s="55" t="s">
        <v>622</v>
      </c>
      <c r="C340" s="242"/>
      <c r="D340" s="146"/>
      <c r="E340" s="260"/>
      <c r="F340" s="205">
        <f t="shared" si="23"/>
        <v>0</v>
      </c>
      <c r="G340" s="206" t="str">
        <f t="shared" si="24"/>
        <v>Не заполнено</v>
      </c>
      <c r="H340"/>
    </row>
    <row r="341" spans="1:8" ht="15">
      <c r="A341" s="44" t="s">
        <v>282</v>
      </c>
      <c r="B341" s="55" t="s">
        <v>268</v>
      </c>
      <c r="C341" s="242"/>
      <c r="D341" s="146"/>
      <c r="E341" s="260"/>
      <c r="F341" s="205">
        <f t="shared" si="23"/>
        <v>0</v>
      </c>
      <c r="G341" s="206" t="str">
        <f t="shared" si="24"/>
        <v>Не заполнено</v>
      </c>
      <c r="H341" s="207">
        <f>IF(E341-E98=0,,"'НЕПРАВИЛЬНО! НЕ РАВНО п.п.2.1.0. (в них: - проф. орг. структурн. подразд.)!")</f>
        <v>0</v>
      </c>
    </row>
    <row r="342" spans="1:8" ht="15">
      <c r="A342" s="44" t="s">
        <v>283</v>
      </c>
      <c r="B342" s="55" t="s">
        <v>615</v>
      </c>
      <c r="C342" s="242"/>
      <c r="D342" s="146"/>
      <c r="E342" s="260"/>
      <c r="F342" s="205">
        <f t="shared" si="23"/>
        <v>0</v>
      </c>
      <c r="G342" s="206" t="str">
        <f t="shared" si="24"/>
        <v>Не заполнено</v>
      </c>
      <c r="H342"/>
    </row>
    <row r="343" spans="1:8" ht="15">
      <c r="A343" s="44" t="s">
        <v>284</v>
      </c>
      <c r="B343" s="55" t="s">
        <v>269</v>
      </c>
      <c r="C343" s="242"/>
      <c r="D343" s="146"/>
      <c r="E343" s="260"/>
      <c r="F343" s="205">
        <f t="shared" si="23"/>
        <v>0</v>
      </c>
      <c r="G343" s="206" t="str">
        <f t="shared" si="24"/>
        <v>Не заполнено</v>
      </c>
      <c r="H343" s="207">
        <f>IF(E343-E99=0,,"'НЕПРАВИЛЬНО! НЕ РАВНО п.п.2.1.0.1. (в них: - проф. групп)!")</f>
        <v>0</v>
      </c>
    </row>
    <row r="344" spans="1:8" ht="15.75" thickBot="1">
      <c r="A344" s="44" t="s">
        <v>285</v>
      </c>
      <c r="B344" s="55" t="s">
        <v>270</v>
      </c>
      <c r="C344" s="242"/>
      <c r="D344" s="146"/>
      <c r="E344" s="261"/>
      <c r="F344" s="205">
        <f t="shared" si="23"/>
        <v>0</v>
      </c>
      <c r="G344" s="206" t="str">
        <f t="shared" si="24"/>
        <v>Не заполнено</v>
      </c>
      <c r="H344"/>
    </row>
    <row r="345" spans="1:9" s="169" customFormat="1" ht="16.5" thickBot="1">
      <c r="A345" s="68" t="s">
        <v>105</v>
      </c>
      <c r="B345" s="240" t="s">
        <v>271</v>
      </c>
      <c r="C345" s="240"/>
      <c r="D345" s="200"/>
      <c r="E345" s="224">
        <f>E346+E348+E349+E350+E351+E352+E353+E354+E355</f>
        <v>0</v>
      </c>
      <c r="I345"/>
    </row>
    <row r="346" spans="1:8" ht="15">
      <c r="A346" s="44" t="s">
        <v>287</v>
      </c>
      <c r="B346" s="55" t="s">
        <v>298</v>
      </c>
      <c r="C346" s="242"/>
      <c r="D346" s="146"/>
      <c r="E346" s="260"/>
      <c r="F346" s="205">
        <f t="shared" si="23"/>
        <v>0</v>
      </c>
      <c r="G346" s="206" t="str">
        <f t="shared" si="24"/>
        <v>Не заполнено</v>
      </c>
      <c r="H346" s="207">
        <f>IF(E326-(E346+E389)=0,,"'НЕПРАВИЛЬНО! сумма (п.п.4.1.2.1.+п.п.5.3.1.) НЕ РАВНА п.3.1 !")</f>
        <v>0</v>
      </c>
    </row>
    <row r="347" spans="1:7" ht="15">
      <c r="A347" s="214" t="s">
        <v>288</v>
      </c>
      <c r="B347" s="236" t="s">
        <v>273</v>
      </c>
      <c r="C347" s="242"/>
      <c r="D347" s="146"/>
      <c r="E347" s="260"/>
      <c r="F347" s="205">
        <f t="shared" si="23"/>
        <v>0</v>
      </c>
      <c r="G347" s="206" t="str">
        <f t="shared" si="24"/>
        <v>Не заполнено</v>
      </c>
    </row>
    <row r="348" spans="1:7" ht="15">
      <c r="A348" s="44" t="s">
        <v>289</v>
      </c>
      <c r="B348" s="55" t="s">
        <v>299</v>
      </c>
      <c r="C348" s="242"/>
      <c r="D348" s="146"/>
      <c r="E348" s="260"/>
      <c r="F348" s="205">
        <f t="shared" si="23"/>
        <v>0</v>
      </c>
      <c r="G348" s="206" t="str">
        <f t="shared" si="24"/>
        <v>Не заполнено</v>
      </c>
    </row>
    <row r="349" spans="1:7" ht="15">
      <c r="A349" s="44" t="s">
        <v>290</v>
      </c>
      <c r="B349" s="55" t="s">
        <v>649</v>
      </c>
      <c r="C349" s="242"/>
      <c r="D349" s="146"/>
      <c r="E349" s="260"/>
      <c r="F349" s="205">
        <f t="shared" si="23"/>
        <v>0</v>
      </c>
      <c r="G349" s="206" t="str">
        <f t="shared" si="24"/>
        <v>Не заполнено</v>
      </c>
    </row>
    <row r="350" spans="1:7" ht="15">
      <c r="A350" s="44" t="s">
        <v>291</v>
      </c>
      <c r="B350" s="4" t="s">
        <v>266</v>
      </c>
      <c r="C350" s="242"/>
      <c r="D350" s="146"/>
      <c r="E350" s="260"/>
      <c r="F350" s="205">
        <f t="shared" si="23"/>
        <v>0</v>
      </c>
      <c r="G350" s="206" t="str">
        <f t="shared" si="24"/>
        <v>Не заполнено</v>
      </c>
    </row>
    <row r="351" spans="1:7" ht="15">
      <c r="A351" s="44" t="s">
        <v>292</v>
      </c>
      <c r="B351" s="4" t="s">
        <v>274</v>
      </c>
      <c r="C351" s="242"/>
      <c r="D351" s="146"/>
      <c r="E351" s="260"/>
      <c r="F351" s="205">
        <f t="shared" si="23"/>
        <v>0</v>
      </c>
      <c r="G351" s="206" t="str">
        <f t="shared" si="24"/>
        <v>Не заполнено</v>
      </c>
    </row>
    <row r="352" spans="1:7" ht="15">
      <c r="A352" s="44" t="s">
        <v>293</v>
      </c>
      <c r="B352" s="55" t="s">
        <v>648</v>
      </c>
      <c r="C352" s="242"/>
      <c r="D352" s="146"/>
      <c r="E352" s="260"/>
      <c r="F352" s="205">
        <f t="shared" si="23"/>
        <v>0</v>
      </c>
      <c r="G352" s="206" t="str">
        <f t="shared" si="24"/>
        <v>Не заполнено</v>
      </c>
    </row>
    <row r="353" spans="1:8" ht="15">
      <c r="A353" s="44" t="s">
        <v>294</v>
      </c>
      <c r="B353" s="55" t="s">
        <v>267</v>
      </c>
      <c r="C353" s="242"/>
      <c r="D353" s="146"/>
      <c r="E353" s="260"/>
      <c r="F353" s="205">
        <f t="shared" si="23"/>
        <v>0</v>
      </c>
      <c r="G353" s="206" t="str">
        <f t="shared" si="24"/>
        <v>Не заполнено</v>
      </c>
      <c r="H353" s="207">
        <f>IF(E353-E326=0,,"'НЕПРАВИЛЬНО! НЕ РАВНО п.3.1.!")</f>
        <v>0</v>
      </c>
    </row>
    <row r="354" spans="1:7" ht="15">
      <c r="A354" s="44" t="s">
        <v>295</v>
      </c>
      <c r="B354" s="55" t="s">
        <v>311</v>
      </c>
      <c r="C354" s="242"/>
      <c r="D354" s="146"/>
      <c r="E354" s="260"/>
      <c r="F354" s="205">
        <f t="shared" si="23"/>
        <v>0</v>
      </c>
      <c r="G354" s="206" t="str">
        <f t="shared" si="24"/>
        <v>Не заполнено</v>
      </c>
    </row>
    <row r="355" spans="1:7" ht="12.75" customHeight="1" thickBot="1">
      <c r="A355" s="44" t="s">
        <v>296</v>
      </c>
      <c r="B355" s="55" t="s">
        <v>270</v>
      </c>
      <c r="C355" s="242"/>
      <c r="D355" s="146"/>
      <c r="E355" s="261"/>
      <c r="F355" s="205">
        <f t="shared" si="23"/>
        <v>0</v>
      </c>
      <c r="G355" s="206" t="str">
        <f t="shared" si="24"/>
        <v>Не заполнено</v>
      </c>
    </row>
    <row r="356" spans="1:9" s="169" customFormat="1" ht="12.75" customHeight="1" thickBot="1">
      <c r="A356" s="68" t="s">
        <v>106</v>
      </c>
      <c r="B356" s="238" t="s">
        <v>297</v>
      </c>
      <c r="C356" s="246"/>
      <c r="D356" s="200"/>
      <c r="E356" s="224">
        <f>E357+E359+E360+E361+E362+E363+E364+E365+E366</f>
        <v>0</v>
      </c>
      <c r="I356"/>
    </row>
    <row r="357" spans="1:7" ht="12.75" customHeight="1">
      <c r="A357" s="44" t="s">
        <v>184</v>
      </c>
      <c r="B357" s="55" t="s">
        <v>272</v>
      </c>
      <c r="C357" s="242"/>
      <c r="D357" s="146"/>
      <c r="E357" s="260"/>
      <c r="F357" s="205">
        <f aca="true" t="shared" si="25" ref="F357:F362">COUNTA(E357)</f>
        <v>0</v>
      </c>
      <c r="G357" s="206" t="str">
        <f aca="true" t="shared" si="26" ref="G357:G362">IF(F357=1," ","Не заполнено")</f>
        <v>Не заполнено</v>
      </c>
    </row>
    <row r="358" spans="1:7" ht="12.75" customHeight="1">
      <c r="A358" s="214" t="s">
        <v>300</v>
      </c>
      <c r="B358" s="236" t="s">
        <v>273</v>
      </c>
      <c r="C358" s="242"/>
      <c r="D358" s="146"/>
      <c r="E358" s="260"/>
      <c r="F358" s="205">
        <f>COUNTA(E358)</f>
        <v>0</v>
      </c>
      <c r="G358" s="206" t="str">
        <f t="shared" si="26"/>
        <v>Не заполнено</v>
      </c>
    </row>
    <row r="359" spans="1:7" ht="12.75" customHeight="1">
      <c r="A359" s="44" t="s">
        <v>301</v>
      </c>
      <c r="B359" s="55" t="s">
        <v>309</v>
      </c>
      <c r="C359" s="242"/>
      <c r="D359" s="146"/>
      <c r="E359" s="260"/>
      <c r="F359" s="205">
        <f t="shared" si="25"/>
        <v>0</v>
      </c>
      <c r="G359" s="206" t="str">
        <f t="shared" si="26"/>
        <v>Не заполнено</v>
      </c>
    </row>
    <row r="360" spans="1:7" ht="12.75" customHeight="1">
      <c r="A360" s="44" t="s">
        <v>302</v>
      </c>
      <c r="B360" s="55" t="s">
        <v>651</v>
      </c>
      <c r="C360" s="242"/>
      <c r="D360" s="146"/>
      <c r="E360" s="260"/>
      <c r="F360" s="205">
        <f t="shared" si="25"/>
        <v>0</v>
      </c>
      <c r="G360" s="206" t="str">
        <f t="shared" si="26"/>
        <v>Не заполнено</v>
      </c>
    </row>
    <row r="361" spans="1:7" ht="12.75" customHeight="1">
      <c r="A361" s="44" t="s">
        <v>303</v>
      </c>
      <c r="B361" s="4" t="s">
        <v>310</v>
      </c>
      <c r="C361" s="242"/>
      <c r="D361" s="146"/>
      <c r="E361" s="260"/>
      <c r="F361" s="205">
        <f t="shared" si="25"/>
        <v>0</v>
      </c>
      <c r="G361" s="206" t="str">
        <f t="shared" si="26"/>
        <v>Не заполнено</v>
      </c>
    </row>
    <row r="362" spans="1:7" ht="12.75" customHeight="1">
      <c r="A362" s="44" t="s">
        <v>304</v>
      </c>
      <c r="B362" s="4" t="s">
        <v>274</v>
      </c>
      <c r="C362" s="242"/>
      <c r="D362" s="146"/>
      <c r="E362" s="260"/>
      <c r="F362" s="205">
        <f t="shared" si="25"/>
        <v>0</v>
      </c>
      <c r="G362" s="206" t="str">
        <f t="shared" si="26"/>
        <v>Не заполнено</v>
      </c>
    </row>
    <row r="363" spans="1:7" ht="12.75" customHeight="1">
      <c r="A363" s="44" t="s">
        <v>305</v>
      </c>
      <c r="B363" s="55" t="s">
        <v>650</v>
      </c>
      <c r="C363" s="242"/>
      <c r="D363" s="146"/>
      <c r="E363" s="260"/>
      <c r="F363" s="205">
        <f>COUNTA(E363)</f>
        <v>0</v>
      </c>
      <c r="G363" s="206" t="str">
        <f>IF(F363=1," ","Не заполнено")</f>
        <v>Не заполнено</v>
      </c>
    </row>
    <row r="364" spans="1:7" ht="12.75" customHeight="1">
      <c r="A364" s="44" t="s">
        <v>306</v>
      </c>
      <c r="B364" s="55" t="s">
        <v>275</v>
      </c>
      <c r="C364" s="242"/>
      <c r="D364" s="146"/>
      <c r="E364" s="260"/>
      <c r="F364" s="205">
        <f>COUNTA(E364)</f>
        <v>0</v>
      </c>
      <c r="G364" s="206" t="str">
        <f>IF(F364=1," ","Не заполнено")</f>
        <v>Не заполнено</v>
      </c>
    </row>
    <row r="365" spans="1:7" ht="12.75" customHeight="1">
      <c r="A365" s="44" t="s">
        <v>307</v>
      </c>
      <c r="B365" s="55" t="s">
        <v>312</v>
      </c>
      <c r="C365" s="242"/>
      <c r="D365" s="146"/>
      <c r="E365" s="260"/>
      <c r="F365" s="205">
        <f>COUNTA(E365)</f>
        <v>0</v>
      </c>
      <c r="G365" s="206" t="str">
        <f>IF(F365=1," ","Не заполнено")</f>
        <v>Не заполнено</v>
      </c>
    </row>
    <row r="366" spans="1:7" ht="15.75" thickBot="1">
      <c r="A366" s="44" t="s">
        <v>308</v>
      </c>
      <c r="B366" s="55" t="s">
        <v>270</v>
      </c>
      <c r="C366" s="242"/>
      <c r="D366" s="146"/>
      <c r="E366" s="170"/>
      <c r="F366" s="205">
        <f>COUNTA(E366)</f>
        <v>0</v>
      </c>
      <c r="G366" s="206" t="str">
        <f>IF(F366=1," ","Не заполнено")</f>
        <v>Не заполнено</v>
      </c>
    </row>
    <row r="367" spans="1:5" ht="19.5" thickBot="1">
      <c r="A367" s="50" t="s">
        <v>27</v>
      </c>
      <c r="B367" s="280" t="s">
        <v>192</v>
      </c>
      <c r="C367" s="297"/>
      <c r="D367" s="158"/>
      <c r="E367" s="32" t="s">
        <v>53</v>
      </c>
    </row>
    <row r="368" spans="1:9" s="118" customFormat="1" ht="16.5" thickBot="1">
      <c r="A368" s="66" t="s">
        <v>107</v>
      </c>
      <c r="B368" s="289" t="s">
        <v>332</v>
      </c>
      <c r="C368" s="324"/>
      <c r="D368" s="171" t="s">
        <v>133</v>
      </c>
      <c r="E368" s="172">
        <f>E369+E388+E395+E402+E408+E415+E421</f>
        <v>0</v>
      </c>
      <c r="I368"/>
    </row>
    <row r="369" spans="1:9" s="118" customFormat="1" ht="15.75" customHeight="1" thickBot="1">
      <c r="A369" s="68" t="s">
        <v>142</v>
      </c>
      <c r="B369" s="289" t="s">
        <v>606</v>
      </c>
      <c r="C369" s="269"/>
      <c r="D369" s="171" t="s">
        <v>133</v>
      </c>
      <c r="E369" s="172">
        <f>E370+E372+E373+E374+E375+E376+E381+E382+E383+E384+E385+E386+E387</f>
        <v>0</v>
      </c>
      <c r="I369"/>
    </row>
    <row r="370" spans="1:7" ht="15">
      <c r="A370" s="44" t="s">
        <v>31</v>
      </c>
      <c r="B370" s="274" t="s">
        <v>28</v>
      </c>
      <c r="C370" s="274"/>
      <c r="D370" s="146"/>
      <c r="E370" s="12"/>
      <c r="F370" s="205">
        <f aca="true" t="shared" si="27" ref="F370:F375">COUNTA(E370)</f>
        <v>0</v>
      </c>
      <c r="G370" s="206" t="str">
        <f aca="true" t="shared" si="28" ref="G370:G375">IF(F370=1," ","Не заполнено")</f>
        <v>Не заполнено</v>
      </c>
    </row>
    <row r="371" spans="1:7" ht="15">
      <c r="A371" s="214" t="s">
        <v>217</v>
      </c>
      <c r="B371" s="310" t="s">
        <v>607</v>
      </c>
      <c r="C371" s="310"/>
      <c r="D371" s="146"/>
      <c r="E371" s="12"/>
      <c r="F371" s="205">
        <f>COUNTA(E371)</f>
        <v>0</v>
      </c>
      <c r="G371" s="206" t="str">
        <f t="shared" si="28"/>
        <v>Не заполнено</v>
      </c>
    </row>
    <row r="372" spans="1:7" ht="15">
      <c r="A372" s="44" t="s">
        <v>32</v>
      </c>
      <c r="B372" s="274" t="s">
        <v>29</v>
      </c>
      <c r="C372" s="274"/>
      <c r="D372" s="146"/>
      <c r="E372" s="12"/>
      <c r="F372" s="205">
        <f t="shared" si="27"/>
        <v>0</v>
      </c>
      <c r="G372" s="206" t="str">
        <f t="shared" si="28"/>
        <v>Не заполнено</v>
      </c>
    </row>
    <row r="373" spans="1:7" ht="15">
      <c r="A373" s="44" t="s">
        <v>33</v>
      </c>
      <c r="B373" s="274" t="s">
        <v>30</v>
      </c>
      <c r="C373" s="274"/>
      <c r="D373" s="136"/>
      <c r="E373" s="12"/>
      <c r="F373" s="205">
        <f t="shared" si="27"/>
        <v>0</v>
      </c>
      <c r="G373" s="206" t="str">
        <f t="shared" si="28"/>
        <v>Не заполнено</v>
      </c>
    </row>
    <row r="374" spans="1:7" ht="15">
      <c r="A374" s="44" t="s">
        <v>34</v>
      </c>
      <c r="B374" s="274" t="s">
        <v>320</v>
      </c>
      <c r="C374" s="274"/>
      <c r="D374" s="146"/>
      <c r="E374" s="12"/>
      <c r="F374" s="205">
        <f t="shared" si="27"/>
        <v>0</v>
      </c>
      <c r="G374" s="206" t="str">
        <f t="shared" si="28"/>
        <v>Не заполнено</v>
      </c>
    </row>
    <row r="375" spans="1:7" ht="15.75" thickBot="1">
      <c r="A375" s="44" t="s">
        <v>35</v>
      </c>
      <c r="B375" s="274" t="s">
        <v>321</v>
      </c>
      <c r="C375" s="274"/>
      <c r="D375" s="130"/>
      <c r="E375" s="14"/>
      <c r="F375" s="205">
        <f t="shared" si="27"/>
        <v>0</v>
      </c>
      <c r="G375" s="206" t="str">
        <f t="shared" si="28"/>
        <v>Не заполнено</v>
      </c>
    </row>
    <row r="376" spans="1:5" ht="15.75" thickBot="1">
      <c r="A376" s="44" t="s">
        <v>108</v>
      </c>
      <c r="B376" s="274" t="s">
        <v>54</v>
      </c>
      <c r="C376" s="274"/>
      <c r="D376" s="130" t="s">
        <v>133</v>
      </c>
      <c r="E376" s="6">
        <f>E378+E379+E380</f>
        <v>0</v>
      </c>
    </row>
    <row r="377" spans="1:5" ht="15">
      <c r="A377" s="44"/>
      <c r="B377" s="247" t="s">
        <v>15</v>
      </c>
      <c r="C377" s="4"/>
      <c r="D377" s="146"/>
      <c r="E377" s="38" t="s">
        <v>53</v>
      </c>
    </row>
    <row r="378" spans="1:7" ht="15">
      <c r="A378" s="214" t="s">
        <v>109</v>
      </c>
      <c r="B378" s="247"/>
      <c r="C378" s="55" t="s">
        <v>314</v>
      </c>
      <c r="D378" s="146"/>
      <c r="E378" s="15"/>
      <c r="F378" s="205">
        <f aca="true" t="shared" si="29" ref="F378:F387">COUNTA(E378)</f>
        <v>0</v>
      </c>
      <c r="G378" s="206" t="str">
        <f aca="true" t="shared" si="30" ref="G378:G387">IF(F378=1," ","Не заполнено")</f>
        <v>Не заполнено</v>
      </c>
    </row>
    <row r="379" spans="1:7" ht="15">
      <c r="A379" s="214" t="s">
        <v>110</v>
      </c>
      <c r="B379" s="247"/>
      <c r="C379" s="55" t="s">
        <v>608</v>
      </c>
      <c r="D379" s="146"/>
      <c r="E379" s="12"/>
      <c r="F379" s="205">
        <f t="shared" si="29"/>
        <v>0</v>
      </c>
      <c r="G379" s="206" t="str">
        <f t="shared" si="30"/>
        <v>Не заполнено</v>
      </c>
    </row>
    <row r="380" spans="1:7" ht="15">
      <c r="A380" s="214" t="s">
        <v>111</v>
      </c>
      <c r="B380" s="247"/>
      <c r="C380" s="55" t="s">
        <v>224</v>
      </c>
      <c r="D380" s="136"/>
      <c r="E380" s="12"/>
      <c r="F380" s="205">
        <f t="shared" si="29"/>
        <v>0</v>
      </c>
      <c r="G380" s="206" t="str">
        <f t="shared" si="30"/>
        <v>Не заполнено</v>
      </c>
    </row>
    <row r="381" spans="1:7" ht="15">
      <c r="A381" s="44" t="s">
        <v>112</v>
      </c>
      <c r="B381" s="274" t="s">
        <v>652</v>
      </c>
      <c r="C381" s="274"/>
      <c r="D381" s="146"/>
      <c r="E381" s="12"/>
      <c r="F381" s="205">
        <f t="shared" si="29"/>
        <v>0</v>
      </c>
      <c r="G381" s="206" t="str">
        <f t="shared" si="30"/>
        <v>Не заполнено</v>
      </c>
    </row>
    <row r="382" spans="1:7" ht="15">
      <c r="A382" s="44" t="s">
        <v>113</v>
      </c>
      <c r="B382" s="274" t="s">
        <v>315</v>
      </c>
      <c r="C382" s="274"/>
      <c r="D382" s="136"/>
      <c r="E382" s="12"/>
      <c r="F382" s="205">
        <f t="shared" si="29"/>
        <v>0</v>
      </c>
      <c r="G382" s="206" t="str">
        <f t="shared" si="30"/>
        <v>Не заполнено</v>
      </c>
    </row>
    <row r="383" spans="1:7" ht="15">
      <c r="A383" s="44" t="s">
        <v>114</v>
      </c>
      <c r="B383" s="274" t="s">
        <v>316</v>
      </c>
      <c r="C383" s="274"/>
      <c r="D383" s="146"/>
      <c r="E383" s="12"/>
      <c r="F383" s="205">
        <f t="shared" si="29"/>
        <v>0</v>
      </c>
      <c r="G383" s="206" t="str">
        <f t="shared" si="30"/>
        <v>Не заполнено</v>
      </c>
    </row>
    <row r="384" spans="1:7" ht="15">
      <c r="A384" s="44" t="s">
        <v>115</v>
      </c>
      <c r="B384" s="274" t="s">
        <v>317</v>
      </c>
      <c r="C384" s="274"/>
      <c r="D384" s="136"/>
      <c r="E384" s="12"/>
      <c r="F384" s="205">
        <f t="shared" si="29"/>
        <v>0</v>
      </c>
      <c r="G384" s="206" t="str">
        <f t="shared" si="30"/>
        <v>Не заполнено</v>
      </c>
    </row>
    <row r="385" spans="1:7" ht="15">
      <c r="A385" s="44" t="s">
        <v>116</v>
      </c>
      <c r="B385" s="274" t="s">
        <v>318</v>
      </c>
      <c r="C385" s="274"/>
      <c r="D385" s="146"/>
      <c r="E385" s="12"/>
      <c r="F385" s="205">
        <f t="shared" si="29"/>
        <v>0</v>
      </c>
      <c r="G385" s="206" t="str">
        <f t="shared" si="30"/>
        <v>Не заполнено</v>
      </c>
    </row>
    <row r="386" spans="1:7" ht="15">
      <c r="A386" s="44" t="s">
        <v>117</v>
      </c>
      <c r="B386" s="274" t="s">
        <v>319</v>
      </c>
      <c r="C386" s="274"/>
      <c r="D386" s="136"/>
      <c r="E386" s="12"/>
      <c r="F386" s="205">
        <f t="shared" si="29"/>
        <v>0</v>
      </c>
      <c r="G386" s="206" t="str">
        <f t="shared" si="30"/>
        <v>Не заполнено</v>
      </c>
    </row>
    <row r="387" spans="1:7" ht="13.5" customHeight="1" thickBot="1">
      <c r="A387" s="44" t="s">
        <v>118</v>
      </c>
      <c r="B387" s="274" t="s">
        <v>144</v>
      </c>
      <c r="C387" s="274"/>
      <c r="D387" s="146"/>
      <c r="E387" s="14"/>
      <c r="F387" s="205">
        <f t="shared" si="29"/>
        <v>0</v>
      </c>
      <c r="G387" s="206" t="str">
        <f t="shared" si="30"/>
        <v>Не заполнено</v>
      </c>
    </row>
    <row r="388" spans="1:9" s="118" customFormat="1" ht="16.5" thickBot="1">
      <c r="A388" s="68" t="s">
        <v>331</v>
      </c>
      <c r="B388" s="289" t="s">
        <v>609</v>
      </c>
      <c r="C388" s="269"/>
      <c r="D388" s="171" t="s">
        <v>133</v>
      </c>
      <c r="E388" s="172">
        <f>E389+E391+E392+E393+E394</f>
        <v>0</v>
      </c>
      <c r="I388"/>
    </row>
    <row r="389" spans="1:8" ht="12.75" customHeight="1">
      <c r="A389" s="44" t="s">
        <v>37</v>
      </c>
      <c r="B389" s="247"/>
      <c r="C389" s="4" t="s">
        <v>617</v>
      </c>
      <c r="D389" s="146"/>
      <c r="E389" s="12"/>
      <c r="F389" s="205">
        <f aca="true" t="shared" si="31" ref="F389:F394">COUNTA(E389)</f>
        <v>0</v>
      </c>
      <c r="G389" s="206" t="str">
        <f aca="true" t="shared" si="32" ref="G389:G394">IF(F389=1," ","Не заполнено")</f>
        <v>Не заполнено</v>
      </c>
      <c r="H389" s="207">
        <f>IF(E326-(E389+E346)=0,,"'НЕПРАВИЛЬНО! сумма (п.п.5.3.1.+п.п.4.1.2.1.) НЕ РАВНА п.3.1 !")</f>
        <v>0</v>
      </c>
    </row>
    <row r="390" spans="1:8" ht="15">
      <c r="A390" s="214" t="s">
        <v>218</v>
      </c>
      <c r="B390" s="247"/>
      <c r="C390" s="236" t="s">
        <v>610</v>
      </c>
      <c r="D390" s="146"/>
      <c r="E390" s="12"/>
      <c r="F390" s="205">
        <f t="shared" si="31"/>
        <v>0</v>
      </c>
      <c r="G390" s="206" t="str">
        <f t="shared" si="32"/>
        <v>Не заполнено</v>
      </c>
      <c r="H390"/>
    </row>
    <row r="391" spans="1:8" ht="15">
      <c r="A391" s="44" t="s">
        <v>38</v>
      </c>
      <c r="B391" s="247"/>
      <c r="C391" s="4" t="s">
        <v>618</v>
      </c>
      <c r="D391" s="146"/>
      <c r="E391" s="12"/>
      <c r="F391" s="205">
        <f t="shared" si="31"/>
        <v>0</v>
      </c>
      <c r="G391" s="206" t="str">
        <f t="shared" si="32"/>
        <v>Не заполнено</v>
      </c>
      <c r="H391"/>
    </row>
    <row r="392" spans="1:8" ht="15">
      <c r="A392" s="44" t="s">
        <v>39</v>
      </c>
      <c r="B392" s="247"/>
      <c r="C392" s="4" t="s">
        <v>619</v>
      </c>
      <c r="D392" s="136"/>
      <c r="E392" s="12"/>
      <c r="F392" s="205">
        <f t="shared" si="31"/>
        <v>0</v>
      </c>
      <c r="G392" s="206" t="str">
        <f t="shared" si="32"/>
        <v>Не заполнено</v>
      </c>
      <c r="H392"/>
    </row>
    <row r="393" spans="1:8" ht="15">
      <c r="A393" s="44" t="s">
        <v>40</v>
      </c>
      <c r="B393" s="247"/>
      <c r="C393" s="4" t="s">
        <v>620</v>
      </c>
      <c r="D393" s="146"/>
      <c r="E393" s="12"/>
      <c r="F393" s="205">
        <f t="shared" si="31"/>
        <v>0</v>
      </c>
      <c r="G393" s="206" t="str">
        <f t="shared" si="32"/>
        <v>Не заполнено</v>
      </c>
      <c r="H393"/>
    </row>
    <row r="394" spans="1:8" ht="15.75" thickBot="1">
      <c r="A394" s="44" t="s">
        <v>41</v>
      </c>
      <c r="B394" s="247"/>
      <c r="C394" s="4" t="s">
        <v>36</v>
      </c>
      <c r="D394" s="146"/>
      <c r="E394" s="14"/>
      <c r="F394" s="205">
        <f t="shared" si="31"/>
        <v>0</v>
      </c>
      <c r="G394" s="206" t="str">
        <f t="shared" si="32"/>
        <v>Не заполнено</v>
      </c>
      <c r="H394"/>
    </row>
    <row r="395" spans="1:9" s="118" customFormat="1" ht="32.25" customHeight="1" thickBot="1">
      <c r="A395" s="68" t="s">
        <v>330</v>
      </c>
      <c r="B395" s="320" t="s">
        <v>632</v>
      </c>
      <c r="C395" s="321"/>
      <c r="D395" s="171" t="s">
        <v>133</v>
      </c>
      <c r="E395" s="172">
        <f>SUM(E396+E398+E399+E400+E401)</f>
        <v>0</v>
      </c>
      <c r="I395"/>
    </row>
    <row r="396" spans="1:8" ht="15">
      <c r="A396" s="44" t="s">
        <v>42</v>
      </c>
      <c r="B396" s="247"/>
      <c r="C396" s="4" t="s">
        <v>617</v>
      </c>
      <c r="D396" s="146"/>
      <c r="E396" s="12"/>
      <c r="F396" s="205">
        <f aca="true" t="shared" si="33" ref="F396:F401">COUNTA(E396)</f>
        <v>0</v>
      </c>
      <c r="G396" s="206" t="str">
        <f aca="true" t="shared" si="34" ref="G396:G401">IF(F396=1," ","Не заполнено")</f>
        <v>Не заполнено</v>
      </c>
      <c r="H396" s="207">
        <f>IF(E96-(E396+E403+E409+E416+E422+E333)=0,,"'НЕПРАВИЛЬНО! сумма (п.п.5.4.1.+п.п.5.5.1.+п.п.5.6.1.+п.п.5.7.1.+п.п.5.8.1.+п.п.4.1.1.1.) НЕ РАВНА п.2.1.!")</f>
        <v>0</v>
      </c>
    </row>
    <row r="397" spans="1:8" ht="15">
      <c r="A397" s="214" t="s">
        <v>219</v>
      </c>
      <c r="B397" s="247"/>
      <c r="C397" s="236" t="s">
        <v>607</v>
      </c>
      <c r="D397" s="146"/>
      <c r="E397" s="12"/>
      <c r="F397" s="205">
        <f>COUNTA(E397)</f>
        <v>0</v>
      </c>
      <c r="G397" s="206" t="str">
        <f>IF(F397=1," ","Не заполнено")</f>
        <v>Не заполнено</v>
      </c>
      <c r="H397"/>
    </row>
    <row r="398" spans="1:8" ht="15">
      <c r="A398" s="44" t="s">
        <v>43</v>
      </c>
      <c r="B398" s="247"/>
      <c r="C398" s="4" t="s">
        <v>618</v>
      </c>
      <c r="D398" s="146"/>
      <c r="E398" s="12"/>
      <c r="F398" s="205">
        <f t="shared" si="33"/>
        <v>0</v>
      </c>
      <c r="G398" s="206" t="str">
        <f t="shared" si="34"/>
        <v>Не заполнено</v>
      </c>
      <c r="H398"/>
    </row>
    <row r="399" spans="1:8" ht="15">
      <c r="A399" s="44" t="s">
        <v>44</v>
      </c>
      <c r="B399" s="247"/>
      <c r="C399" s="4" t="s">
        <v>619</v>
      </c>
      <c r="D399" s="136"/>
      <c r="E399" s="12"/>
      <c r="F399" s="205">
        <f t="shared" si="33"/>
        <v>0</v>
      </c>
      <c r="G399" s="206" t="str">
        <f t="shared" si="34"/>
        <v>Не заполнено</v>
      </c>
      <c r="H399"/>
    </row>
    <row r="400" spans="1:8" ht="15">
      <c r="A400" s="44" t="s">
        <v>45</v>
      </c>
      <c r="B400" s="247"/>
      <c r="C400" s="4" t="s">
        <v>620</v>
      </c>
      <c r="D400" s="146"/>
      <c r="E400" s="12"/>
      <c r="F400" s="205">
        <f t="shared" si="33"/>
        <v>0</v>
      </c>
      <c r="G400" s="206" t="str">
        <f t="shared" si="34"/>
        <v>Не заполнено</v>
      </c>
      <c r="H400"/>
    </row>
    <row r="401" spans="1:8" ht="15.75" thickBot="1">
      <c r="A401" s="44" t="s">
        <v>119</v>
      </c>
      <c r="B401" s="247"/>
      <c r="C401" s="4" t="s">
        <v>36</v>
      </c>
      <c r="D401" s="130"/>
      <c r="E401" s="14"/>
      <c r="F401" s="205">
        <f t="shared" si="33"/>
        <v>0</v>
      </c>
      <c r="G401" s="206" t="str">
        <f t="shared" si="34"/>
        <v>Не заполнено</v>
      </c>
      <c r="H401"/>
    </row>
    <row r="402" spans="1:9" s="118" customFormat="1" ht="29.25" customHeight="1" thickBot="1">
      <c r="A402" s="68" t="s">
        <v>329</v>
      </c>
      <c r="B402" s="311" t="s">
        <v>611</v>
      </c>
      <c r="C402" s="312"/>
      <c r="D402" s="171" t="s">
        <v>133</v>
      </c>
      <c r="E402" s="172">
        <f>E403+E405+E406+E407</f>
        <v>0</v>
      </c>
      <c r="F402" s="205"/>
      <c r="G402" s="206"/>
      <c r="H402" s="207"/>
      <c r="I402"/>
    </row>
    <row r="403" spans="1:8" ht="15">
      <c r="A403" s="44" t="s">
        <v>120</v>
      </c>
      <c r="B403" s="247"/>
      <c r="C403" s="4" t="s">
        <v>617</v>
      </c>
      <c r="D403" s="159"/>
      <c r="E403" s="85"/>
      <c r="F403" s="205">
        <f>COUNTA(E403)</f>
        <v>0</v>
      </c>
      <c r="G403" s="206" t="str">
        <f>IF(F403=1," ","Не заполнено")</f>
        <v>Не заполнено</v>
      </c>
      <c r="H403" s="207">
        <f>IF(E96-(E403+E409+E416+E422+E333+E396)=0,,"'НЕПРАВИЛЬНО! сумма (п.п.5.5.1.+п.п.5.6.1.+п.п.5.7.1.+п.п.5.8.1.+п.п.4.1.1.1.+п.п.5.4.1.+.) НЕ РАВНА п.2.1.!")</f>
        <v>0</v>
      </c>
    </row>
    <row r="404" spans="1:7" ht="15">
      <c r="A404" s="214" t="s">
        <v>324</v>
      </c>
      <c r="B404" s="247"/>
      <c r="C404" s="236" t="s">
        <v>607</v>
      </c>
      <c r="D404" s="160"/>
      <c r="E404" s="12"/>
      <c r="F404" s="205">
        <f>COUNTA(E404)</f>
        <v>0</v>
      </c>
      <c r="G404" s="206" t="str">
        <f>IF(F404=1," ","Не заполнено")</f>
        <v>Не заполнено</v>
      </c>
    </row>
    <row r="405" spans="1:7" ht="15">
      <c r="A405" s="44" t="s">
        <v>322</v>
      </c>
      <c r="B405" s="247"/>
      <c r="C405" s="4" t="s">
        <v>618</v>
      </c>
      <c r="D405" s="160"/>
      <c r="E405" s="12"/>
      <c r="F405" s="205">
        <f>COUNTA(E405)</f>
        <v>0</v>
      </c>
      <c r="G405" s="206" t="str">
        <f>IF(F405=1," ","Не заполнено")</f>
        <v>Не заполнено</v>
      </c>
    </row>
    <row r="406" spans="1:7" ht="15">
      <c r="A406" s="44" t="s">
        <v>323</v>
      </c>
      <c r="B406" s="247"/>
      <c r="C406" s="4" t="s">
        <v>619</v>
      </c>
      <c r="D406" s="160"/>
      <c r="E406" s="12"/>
      <c r="F406" s="205">
        <f>COUNTA(E406)</f>
        <v>0</v>
      </c>
      <c r="G406" s="206" t="str">
        <f>IF(F406=1," ","Не заполнено")</f>
        <v>Не заполнено</v>
      </c>
    </row>
    <row r="407" spans="1:7" ht="15.75" thickBot="1">
      <c r="A407" s="44" t="s">
        <v>325</v>
      </c>
      <c r="B407" s="247"/>
      <c r="C407" s="4" t="s">
        <v>36</v>
      </c>
      <c r="D407" s="160"/>
      <c r="E407" s="13"/>
      <c r="F407" s="205">
        <f>COUNTA(E407)</f>
        <v>0</v>
      </c>
      <c r="G407" s="206" t="str">
        <f>IF(F407=1," ","Не заполнено")</f>
        <v>Не заполнено</v>
      </c>
    </row>
    <row r="408" spans="1:9" s="118" customFormat="1" ht="34.5" customHeight="1" thickBot="1">
      <c r="A408" s="68" t="s">
        <v>328</v>
      </c>
      <c r="B408" s="322" t="s">
        <v>621</v>
      </c>
      <c r="C408" s="323"/>
      <c r="D408" s="171" t="s">
        <v>133</v>
      </c>
      <c r="E408" s="172">
        <f>E409+E411+E412+E413+E414</f>
        <v>0</v>
      </c>
      <c r="I408"/>
    </row>
    <row r="409" spans="1:8" ht="15">
      <c r="A409" s="44" t="s">
        <v>160</v>
      </c>
      <c r="B409" s="247"/>
      <c r="C409" s="4" t="s">
        <v>617</v>
      </c>
      <c r="D409" s="146"/>
      <c r="E409" s="12"/>
      <c r="F409" s="205">
        <f aca="true" t="shared" si="35" ref="F409:F414">COUNTA(E409)</f>
        <v>0</v>
      </c>
      <c r="G409" s="206" t="str">
        <f aca="true" t="shared" si="36" ref="G409:G414">IF(F409=1," ","Не заполнено")</f>
        <v>Не заполнено</v>
      </c>
      <c r="H409" s="207">
        <f>IF(E96-(E409+E416+E422+E333+E396+E403)=0,,"'НЕПРАВИЛЬНО! сумма (п.п.5.6.1.+п.п.5.7.1.+п.п.5.8.1.+п.п.4.1.1.1.+п.п.5.4.1.+п.п.5.5.1.) НЕ РАВНА п.2.1.!")</f>
        <v>0</v>
      </c>
    </row>
    <row r="410" spans="1:8" ht="15">
      <c r="A410" s="214" t="s">
        <v>220</v>
      </c>
      <c r="B410" s="247"/>
      <c r="C410" s="236" t="s">
        <v>607</v>
      </c>
      <c r="D410" s="146"/>
      <c r="E410" s="12"/>
      <c r="F410" s="205">
        <f>COUNTA(E410)</f>
        <v>0</v>
      </c>
      <c r="G410" s="206" t="str">
        <f>IF(F410=1," ","Не заполнено")</f>
        <v>Не заполнено</v>
      </c>
      <c r="H410"/>
    </row>
    <row r="411" spans="1:8" ht="15">
      <c r="A411" s="44" t="s">
        <v>161</v>
      </c>
      <c r="B411" s="247"/>
      <c r="C411" s="4" t="s">
        <v>618</v>
      </c>
      <c r="D411" s="146"/>
      <c r="E411" s="12"/>
      <c r="F411" s="205">
        <f t="shared" si="35"/>
        <v>0</v>
      </c>
      <c r="G411" s="206" t="str">
        <f t="shared" si="36"/>
        <v>Не заполнено</v>
      </c>
      <c r="H411"/>
    </row>
    <row r="412" spans="1:8" ht="15">
      <c r="A412" s="44" t="s">
        <v>162</v>
      </c>
      <c r="B412" s="247"/>
      <c r="C412" s="4" t="s">
        <v>619</v>
      </c>
      <c r="D412" s="146"/>
      <c r="E412" s="12"/>
      <c r="F412" s="205">
        <f t="shared" si="35"/>
        <v>0</v>
      </c>
      <c r="G412" s="206" t="str">
        <f t="shared" si="36"/>
        <v>Не заполнено</v>
      </c>
      <c r="H412"/>
    </row>
    <row r="413" spans="1:8" ht="15">
      <c r="A413" s="44" t="s">
        <v>163</v>
      </c>
      <c r="B413" s="247"/>
      <c r="C413" s="4" t="s">
        <v>620</v>
      </c>
      <c r="D413" s="136"/>
      <c r="E413" s="14"/>
      <c r="F413" s="205">
        <f>COUNTA(E413)</f>
        <v>0</v>
      </c>
      <c r="G413" s="206" t="str">
        <f>IF(F413=1," ","Не заполнено")</f>
        <v>Не заполнено</v>
      </c>
      <c r="H413"/>
    </row>
    <row r="414" spans="1:8" ht="13.5" customHeight="1" thickBot="1">
      <c r="A414" s="44" t="s">
        <v>164</v>
      </c>
      <c r="B414" s="247"/>
      <c r="C414" s="4" t="s">
        <v>36</v>
      </c>
      <c r="D414" s="146"/>
      <c r="E414" s="14"/>
      <c r="F414" s="205">
        <f t="shared" si="35"/>
        <v>0</v>
      </c>
      <c r="G414" s="206" t="str">
        <f t="shared" si="36"/>
        <v>Не заполнено</v>
      </c>
      <c r="H414"/>
    </row>
    <row r="415" spans="1:9" s="118" customFormat="1" ht="16.5" thickBot="1">
      <c r="A415" s="66" t="s">
        <v>165</v>
      </c>
      <c r="B415" s="268" t="s">
        <v>612</v>
      </c>
      <c r="C415" s="269"/>
      <c r="D415" s="122" t="s">
        <v>133</v>
      </c>
      <c r="E415" s="172">
        <f>E416+E418+E420+E419</f>
        <v>0</v>
      </c>
      <c r="I415"/>
    </row>
    <row r="416" spans="1:8" ht="15">
      <c r="A416" s="44" t="s">
        <v>166</v>
      </c>
      <c r="B416" s="254"/>
      <c r="C416" s="4" t="s">
        <v>617</v>
      </c>
      <c r="D416" s="37"/>
      <c r="E416" s="12"/>
      <c r="F416" s="205">
        <f>COUNTA(E416)</f>
        <v>0</v>
      </c>
      <c r="G416" s="206" t="str">
        <f>IF(F416=1," ","Не заполнено")</f>
        <v>Не заполнено</v>
      </c>
      <c r="H416" s="207">
        <f>IF(E96-(E416+E422+E333+E396+E403+E409)=0,,"'НЕПРАВИЛЬНО! сумма (п.п.5.7.1.+п.п.5.8.1.+п.п.4.1.1.1.+п.п.5.4.1.+п.п.5.5.1.+п.п.5.6.1.) НЕ РАВНА п.2.1.!")</f>
        <v>0</v>
      </c>
    </row>
    <row r="417" spans="1:7" ht="15">
      <c r="A417" s="214" t="s">
        <v>221</v>
      </c>
      <c r="B417" s="247"/>
      <c r="C417" s="236" t="s">
        <v>607</v>
      </c>
      <c r="D417" s="96"/>
      <c r="E417" s="12"/>
      <c r="F417" s="205">
        <f>COUNTA(E417)</f>
        <v>0</v>
      </c>
      <c r="G417" s="206" t="str">
        <f>IF(F417=1," ","Не заполнено")</f>
        <v>Не заполнено</v>
      </c>
    </row>
    <row r="418" spans="1:7" ht="15">
      <c r="A418" s="44" t="s">
        <v>201</v>
      </c>
      <c r="B418" s="247"/>
      <c r="C418" s="4" t="s">
        <v>618</v>
      </c>
      <c r="D418" s="96"/>
      <c r="E418" s="12"/>
      <c r="F418" s="205">
        <f>COUNTA(E418)</f>
        <v>0</v>
      </c>
      <c r="G418" s="206" t="str">
        <f>IF(F418=1," ","Не заполнено")</f>
        <v>Не заполнено</v>
      </c>
    </row>
    <row r="419" spans="1:7" ht="15">
      <c r="A419" s="44" t="s">
        <v>202</v>
      </c>
      <c r="B419" s="247"/>
      <c r="C419" s="4" t="s">
        <v>619</v>
      </c>
      <c r="D419" s="96"/>
      <c r="E419" s="14"/>
      <c r="F419" s="205">
        <f>COUNTA(E419)</f>
        <v>0</v>
      </c>
      <c r="G419" s="206" t="str">
        <f>IF(F419=1," ","Не заполнено")</f>
        <v>Не заполнено</v>
      </c>
    </row>
    <row r="420" spans="1:7" ht="15.75" thickBot="1">
      <c r="A420" s="44" t="s">
        <v>327</v>
      </c>
      <c r="B420" s="247"/>
      <c r="C420" s="55" t="s">
        <v>36</v>
      </c>
      <c r="D420" s="96"/>
      <c r="E420" s="13"/>
      <c r="F420" s="205">
        <f>COUNTA(E420)</f>
        <v>0</v>
      </c>
      <c r="G420" s="206" t="str">
        <f>IF(F420=1," ","Не заполнено")</f>
        <v>Не заполнено</v>
      </c>
    </row>
    <row r="421" spans="1:9" s="118" customFormat="1" ht="16.5" thickBot="1">
      <c r="A421" s="68" t="s">
        <v>333</v>
      </c>
      <c r="B421" s="289" t="s">
        <v>613</v>
      </c>
      <c r="C421" s="269"/>
      <c r="D421" s="173" t="s">
        <v>133</v>
      </c>
      <c r="E421" s="174">
        <f>E422+E424+E426+E425</f>
        <v>0</v>
      </c>
      <c r="I421"/>
    </row>
    <row r="422" spans="1:8" ht="15">
      <c r="A422" s="44" t="s">
        <v>203</v>
      </c>
      <c r="B422" s="254"/>
      <c r="C422" s="4" t="s">
        <v>617</v>
      </c>
      <c r="D422" s="37"/>
      <c r="E422" s="12"/>
      <c r="F422" s="205">
        <f>COUNTA(E422)</f>
        <v>0</v>
      </c>
      <c r="G422" s="206" t="str">
        <f>IF(F422=1," ","Не заполнено")</f>
        <v>Не заполнено</v>
      </c>
      <c r="H422" s="207">
        <f>IF(E96-(E422+E333+E396+E403+E409+E416)=0,,"'НЕПРАВИЛЬНО! сумма (п.п.5.8.1.+п.п.4.1.1.1.+п.п.5.4.1.+п.п.5.5.1.+п.п.5.6.1.+п.п.5.7.1.) НЕ РАВНА п.2.1.!")</f>
        <v>0</v>
      </c>
    </row>
    <row r="423" spans="1:7" ht="15">
      <c r="A423" s="214" t="s">
        <v>222</v>
      </c>
      <c r="B423" s="247"/>
      <c r="C423" s="236" t="s">
        <v>607</v>
      </c>
      <c r="D423" s="96"/>
      <c r="E423" s="12"/>
      <c r="F423" s="205">
        <f>COUNTA(E423)</f>
        <v>0</v>
      </c>
      <c r="G423" s="206" t="str">
        <f>IF(F423=1," ","Не заполнено")</f>
        <v>Не заполнено</v>
      </c>
    </row>
    <row r="424" spans="1:7" ht="15">
      <c r="A424" s="44" t="s">
        <v>204</v>
      </c>
      <c r="B424" s="247"/>
      <c r="C424" s="4" t="s">
        <v>618</v>
      </c>
      <c r="D424" s="96"/>
      <c r="E424" s="12"/>
      <c r="F424" s="205">
        <f>COUNTA(E424)</f>
        <v>0</v>
      </c>
      <c r="G424" s="206" t="str">
        <f>IF(F424=1," ","Не заполнено")</f>
        <v>Не заполнено</v>
      </c>
    </row>
    <row r="425" spans="1:7" ht="15">
      <c r="A425" s="44" t="s">
        <v>205</v>
      </c>
      <c r="B425" s="247"/>
      <c r="C425" s="4" t="s">
        <v>619</v>
      </c>
      <c r="D425" s="96"/>
      <c r="E425" s="14"/>
      <c r="F425" s="205">
        <f>COUNTA(E425)</f>
        <v>0</v>
      </c>
      <c r="G425" s="206" t="str">
        <f>IF(F425=1," ","Не заполнено")</f>
        <v>Не заполнено</v>
      </c>
    </row>
    <row r="426" spans="1:7" ht="15.75" thickBot="1">
      <c r="A426" s="46" t="s">
        <v>326</v>
      </c>
      <c r="B426" s="58"/>
      <c r="C426" s="106" t="s">
        <v>36</v>
      </c>
      <c r="D426" s="107"/>
      <c r="E426" s="13"/>
      <c r="F426" s="205">
        <f>COUNTA(E426)</f>
        <v>0</v>
      </c>
      <c r="G426" s="206" t="str">
        <f>IF(F426=1," ","Не заполнено")</f>
        <v>Не заполнено</v>
      </c>
    </row>
    <row r="427" spans="1:9" s="163" customFormat="1" ht="19.5" thickBot="1">
      <c r="A427" s="50" t="s">
        <v>46</v>
      </c>
      <c r="B427" s="280" t="s">
        <v>614</v>
      </c>
      <c r="C427" s="280"/>
      <c r="D427" s="181"/>
      <c r="E427" s="162" t="s">
        <v>53</v>
      </c>
      <c r="F427"/>
      <c r="I427"/>
    </row>
    <row r="428" spans="1:6" ht="33.75" customHeight="1" thickBot="1">
      <c r="A428" s="66" t="s">
        <v>339</v>
      </c>
      <c r="B428" s="288" t="s">
        <v>630</v>
      </c>
      <c r="C428" s="288"/>
      <c r="D428" s="132" t="s">
        <v>133</v>
      </c>
      <c r="E428" s="6">
        <f>E430+E431+E432</f>
        <v>0</v>
      </c>
      <c r="F428"/>
    </row>
    <row r="429" spans="1:9" s="179" customFormat="1" ht="16.5" customHeight="1">
      <c r="A429" s="182"/>
      <c r="B429" s="247" t="s">
        <v>102</v>
      </c>
      <c r="C429" s="241"/>
      <c r="D429" s="178"/>
      <c r="E429" s="211" t="s">
        <v>53</v>
      </c>
      <c r="F429"/>
      <c r="I429"/>
    </row>
    <row r="430" spans="1:9" s="179" customFormat="1" ht="16.5" customHeight="1">
      <c r="A430" s="183" t="s">
        <v>338</v>
      </c>
      <c r="B430" s="243" t="s">
        <v>334</v>
      </c>
      <c r="C430" s="241"/>
      <c r="D430" s="178"/>
      <c r="E430" s="198"/>
      <c r="F430" s="205">
        <f>COUNTA(E430)</f>
        <v>0</v>
      </c>
      <c r="G430" s="206" t="str">
        <f>IF(F430=1," ","Не заполнено")</f>
        <v>Не заполнено</v>
      </c>
      <c r="I430"/>
    </row>
    <row r="431" spans="1:9" s="179" customFormat="1" ht="16.5" customHeight="1">
      <c r="A431" s="183" t="s">
        <v>337</v>
      </c>
      <c r="B431" s="243" t="s">
        <v>335</v>
      </c>
      <c r="C431" s="241"/>
      <c r="D431" s="178"/>
      <c r="E431" s="198"/>
      <c r="F431" s="205">
        <f>COUNTA(E431)</f>
        <v>0</v>
      </c>
      <c r="G431" s="206" t="str">
        <f>IF(F431=1," ","Не заполнено")</f>
        <v>Не заполнено</v>
      </c>
      <c r="I431"/>
    </row>
    <row r="432" spans="1:9" s="179" customFormat="1" ht="16.5" customHeight="1" thickBot="1">
      <c r="A432" s="187" t="s">
        <v>336</v>
      </c>
      <c r="B432" s="243" t="s">
        <v>340</v>
      </c>
      <c r="C432" s="241"/>
      <c r="D432" s="168"/>
      <c r="E432" s="199"/>
      <c r="F432" s="205">
        <f>COUNTA(E432)</f>
        <v>0</v>
      </c>
      <c r="G432" s="206" t="str">
        <f>IF(F432=1," ","Не заполнено")</f>
        <v>Не заполнено</v>
      </c>
      <c r="I432"/>
    </row>
    <row r="433" spans="1:5" ht="33" customHeight="1" thickBot="1">
      <c r="A433" s="184" t="s">
        <v>349</v>
      </c>
      <c r="B433" s="277" t="s">
        <v>631</v>
      </c>
      <c r="C433" s="277"/>
      <c r="D433" s="132" t="s">
        <v>133</v>
      </c>
      <c r="E433" s="6">
        <f>E436+E435+E442</f>
        <v>0</v>
      </c>
    </row>
    <row r="434" spans="1:9" s="179" customFormat="1" ht="15.75" thickBot="1">
      <c r="A434" s="182"/>
      <c r="B434" s="247" t="s">
        <v>102</v>
      </c>
      <c r="C434" s="168"/>
      <c r="D434" s="180"/>
      <c r="E434" s="195" t="s">
        <v>53</v>
      </c>
      <c r="I434"/>
    </row>
    <row r="435" spans="1:9" s="179" customFormat="1" ht="15.75" thickBot="1">
      <c r="A435" s="183" t="s">
        <v>47</v>
      </c>
      <c r="B435" s="243" t="s">
        <v>334</v>
      </c>
      <c r="C435" s="168"/>
      <c r="D435" s="180"/>
      <c r="E435" s="263"/>
      <c r="F435" s="205">
        <f>COUNTA(E435)</f>
        <v>0</v>
      </c>
      <c r="G435" s="206" t="str">
        <f>IF(F435=1," ","Не заполнено")</f>
        <v>Не заполнено</v>
      </c>
      <c r="I435"/>
    </row>
    <row r="436" spans="1:9" s="179" customFormat="1" ht="15.75" thickBot="1">
      <c r="A436" s="183" t="s">
        <v>48</v>
      </c>
      <c r="B436" s="243" t="s">
        <v>335</v>
      </c>
      <c r="C436" s="168"/>
      <c r="D436" s="180"/>
      <c r="E436" s="264">
        <f>SUM(E438+E439+E440+E441)</f>
        <v>0</v>
      </c>
      <c r="I436"/>
    </row>
    <row r="437" spans="1:9" s="179" customFormat="1" ht="15">
      <c r="A437" s="185"/>
      <c r="B437" s="176" t="s">
        <v>341</v>
      </c>
      <c r="C437" s="168"/>
      <c r="D437" s="180"/>
      <c r="E437" s="196" t="s">
        <v>53</v>
      </c>
      <c r="I437"/>
    </row>
    <row r="438" spans="1:9" s="179" customFormat="1" ht="15">
      <c r="A438" s="219" t="s">
        <v>350</v>
      </c>
      <c r="B438" s="177" t="s">
        <v>342</v>
      </c>
      <c r="C438" s="168"/>
      <c r="D438" s="180"/>
      <c r="E438" s="198"/>
      <c r="F438" s="205">
        <f>COUNTA(E438)</f>
        <v>0</v>
      </c>
      <c r="G438" s="206" t="str">
        <f>IF(F438=1," ","Не заполнено")</f>
        <v>Не заполнено</v>
      </c>
      <c r="I438"/>
    </row>
    <row r="439" spans="1:9" s="179" customFormat="1" ht="15">
      <c r="A439" s="219" t="s">
        <v>351</v>
      </c>
      <c r="B439" s="177" t="s">
        <v>345</v>
      </c>
      <c r="C439" s="168"/>
      <c r="D439" s="180"/>
      <c r="E439" s="198"/>
      <c r="F439" s="205">
        <f>COUNTA(E439)</f>
        <v>0</v>
      </c>
      <c r="G439" s="206" t="str">
        <f>IF(F439=1," ","Не заполнено")</f>
        <v>Не заполнено</v>
      </c>
      <c r="I439"/>
    </row>
    <row r="440" spans="1:9" s="179" customFormat="1" ht="15">
      <c r="A440" s="219" t="s">
        <v>352</v>
      </c>
      <c r="B440" s="177" t="s">
        <v>347</v>
      </c>
      <c r="C440" s="168"/>
      <c r="D440" s="180"/>
      <c r="E440" s="198"/>
      <c r="F440" s="205">
        <f>COUNTA(E440)</f>
        <v>0</v>
      </c>
      <c r="G440" s="206" t="str">
        <f>IF(F440=1," ","Не заполнено")</f>
        <v>Не заполнено</v>
      </c>
      <c r="I440"/>
    </row>
    <row r="441" spans="1:9" s="179" customFormat="1" ht="15.75" thickBot="1">
      <c r="A441" s="219" t="s">
        <v>353</v>
      </c>
      <c r="B441" s="177" t="s">
        <v>343</v>
      </c>
      <c r="C441" s="168"/>
      <c r="D441" s="180"/>
      <c r="E441" s="199"/>
      <c r="F441" s="205">
        <f>COUNTA(E441)</f>
        <v>0</v>
      </c>
      <c r="G441" s="206" t="str">
        <f>IF(F441=1," ","Не заполнено")</f>
        <v>Не заполнено</v>
      </c>
      <c r="I441"/>
    </row>
    <row r="442" spans="1:9" s="179" customFormat="1" ht="16.5" customHeight="1" thickBot="1">
      <c r="A442" s="187" t="s">
        <v>49</v>
      </c>
      <c r="B442" s="243" t="s">
        <v>340</v>
      </c>
      <c r="C442" s="241"/>
      <c r="D442" s="178"/>
      <c r="E442" s="265">
        <f>E444+E445+E446+E447+E448+E449+E450</f>
        <v>0</v>
      </c>
      <c r="I442"/>
    </row>
    <row r="443" spans="1:9" s="179" customFormat="1" ht="16.5" customHeight="1" thickBot="1">
      <c r="A443" s="187"/>
      <c r="B443" s="176" t="s">
        <v>341</v>
      </c>
      <c r="C443" s="168"/>
      <c r="D443" s="178"/>
      <c r="E443" s="197" t="s">
        <v>53</v>
      </c>
      <c r="I443"/>
    </row>
    <row r="444" spans="1:9" s="179" customFormat="1" ht="16.5" customHeight="1">
      <c r="A444" s="220" t="s">
        <v>354</v>
      </c>
      <c r="B444" s="177" t="s">
        <v>342</v>
      </c>
      <c r="C444" s="168"/>
      <c r="D444" s="178"/>
      <c r="E444" s="266"/>
      <c r="F444" s="205">
        <f aca="true" t="shared" si="37" ref="F444:F450">COUNTA(E444)</f>
        <v>0</v>
      </c>
      <c r="G444" s="206" t="str">
        <f aca="true" t="shared" si="38" ref="G444:G450">IF(F444=1," ","Не заполнено")</f>
        <v>Не заполнено</v>
      </c>
      <c r="H444" s="207">
        <f>IF(E444-E96&lt;=0,,"'НЕПРАВИЛЬНО! п.п.6.2.3.1. не может быть больше п.2.1.!")</f>
        <v>0</v>
      </c>
      <c r="I444"/>
    </row>
    <row r="445" spans="1:9" s="179" customFormat="1" ht="16.5" customHeight="1">
      <c r="A445" s="220" t="s">
        <v>355</v>
      </c>
      <c r="B445" s="177" t="s">
        <v>344</v>
      </c>
      <c r="C445" s="168"/>
      <c r="D445" s="178"/>
      <c r="E445" s="198"/>
      <c r="F445" s="205">
        <f t="shared" si="37"/>
        <v>0</v>
      </c>
      <c r="G445" s="206" t="str">
        <f t="shared" si="38"/>
        <v>Не заполнено</v>
      </c>
      <c r="H445" s="207">
        <f>IF(E445-E326&lt;=0,,"'НЕПРАВИЛЬНО! п.п.6.2.3.2. не может быть больше п.3.1.!")</f>
        <v>0</v>
      </c>
      <c r="I445"/>
    </row>
    <row r="446" spans="1:9" s="179" customFormat="1" ht="16.5" customHeight="1">
      <c r="A446" s="220" t="s">
        <v>356</v>
      </c>
      <c r="B446" s="177" t="s">
        <v>345</v>
      </c>
      <c r="C446" s="168"/>
      <c r="D446" s="178"/>
      <c r="E446" s="198"/>
      <c r="F446" s="205">
        <f t="shared" si="37"/>
        <v>0</v>
      </c>
      <c r="G446" s="206" t="str">
        <f t="shared" si="38"/>
        <v>Не заполнено</v>
      </c>
      <c r="H446" s="207">
        <f>IF(E446-(E335+E398+E405+E411+E418+E424)&lt;=0,,"'НЕПРАВИЛЬНО! п.п.6.2.3.3. не может быть больше суммы (п.п.4.1.1.2.+п.п.5.4.2.+п.п.5.5.2.+п.п.5.6.2.+п.п.5.7.2.+п.п.5.8.2.!")</f>
        <v>0</v>
      </c>
      <c r="I446"/>
    </row>
    <row r="447" spans="1:9" s="179" customFormat="1" ht="16.5" customHeight="1">
      <c r="A447" s="220" t="s">
        <v>357</v>
      </c>
      <c r="B447" s="177" t="s">
        <v>346</v>
      </c>
      <c r="C447" s="168"/>
      <c r="D447" s="178"/>
      <c r="E447" s="198"/>
      <c r="F447" s="205">
        <f t="shared" si="37"/>
        <v>0</v>
      </c>
      <c r="G447" s="206" t="str">
        <f t="shared" si="38"/>
        <v>Не заполнено</v>
      </c>
      <c r="H447" s="207">
        <f>IF(E447-(E348+E391)&lt;=0,,"'НЕПРАВИЛЬНО! п.п.6.2.3.4. не может быть больше суммы (п.п.4.1.2.2.+п.п.5.3.2.!")</f>
        <v>0</v>
      </c>
      <c r="I447"/>
    </row>
    <row r="448" spans="1:9" s="179" customFormat="1" ht="16.5" customHeight="1">
      <c r="A448" s="220" t="s">
        <v>358</v>
      </c>
      <c r="B448" s="177" t="s">
        <v>347</v>
      </c>
      <c r="C448" s="168"/>
      <c r="D448" s="178"/>
      <c r="E448" s="198"/>
      <c r="F448" s="205">
        <f t="shared" si="37"/>
        <v>0</v>
      </c>
      <c r="G448" s="206" t="str">
        <f t="shared" si="38"/>
        <v>Не заполнено</v>
      </c>
      <c r="H448" s="207">
        <f>IF(E448-E339&lt;=0,,"'НЕПРАВИЛЬНО! п.п.6.2.3.5. не может быть больше п.п.4.1.1.6.!")</f>
        <v>0</v>
      </c>
      <c r="I448"/>
    </row>
    <row r="449" spans="1:9" s="179" customFormat="1" ht="16.5" customHeight="1">
      <c r="A449" s="220" t="s">
        <v>359</v>
      </c>
      <c r="B449" s="177" t="s">
        <v>348</v>
      </c>
      <c r="C449" s="168"/>
      <c r="D449" s="178"/>
      <c r="E449" s="198"/>
      <c r="F449" s="205">
        <f t="shared" si="37"/>
        <v>0</v>
      </c>
      <c r="G449" s="206" t="str">
        <f t="shared" si="38"/>
        <v>Не заполнено</v>
      </c>
      <c r="H449" s="207">
        <f>IF(E449-E353&lt;=0,,"'НЕПРАВИЛЬНО! п.п.6.2.3.6. не может быть больше п.п.4.1.2.7.!")</f>
        <v>0</v>
      </c>
      <c r="I449"/>
    </row>
    <row r="450" spans="1:9" s="179" customFormat="1" ht="16.5" customHeight="1" thickBot="1">
      <c r="A450" s="221" t="s">
        <v>360</v>
      </c>
      <c r="B450" s="175" t="s">
        <v>343</v>
      </c>
      <c r="C450" s="186"/>
      <c r="D450" s="186"/>
      <c r="E450" s="199"/>
      <c r="F450" s="205">
        <f t="shared" si="37"/>
        <v>0</v>
      </c>
      <c r="G450" s="206" t="str">
        <f t="shared" si="38"/>
        <v>Не заполнено</v>
      </c>
      <c r="I450"/>
    </row>
    <row r="451" ht="15"/>
    <row r="452" spans="3:5" ht="15">
      <c r="C452" s="7" t="s">
        <v>50</v>
      </c>
      <c r="D452" s="133"/>
      <c r="E452" s="229"/>
    </row>
    <row r="453" spans="3:5" ht="15">
      <c r="C453" s="7" t="s">
        <v>51</v>
      </c>
      <c r="D453" s="30"/>
      <c r="E453" s="225"/>
    </row>
    <row r="454" spans="1:7" ht="18.75" customHeight="1">
      <c r="A454" s="2" t="s">
        <v>52</v>
      </c>
      <c r="C454" s="43"/>
      <c r="E454" s="225"/>
      <c r="F454" s="205">
        <f>COUNTA(C454)</f>
        <v>0</v>
      </c>
      <c r="G454" s="206" t="str">
        <f>IF(F454=1," ","Не заполнено")</f>
        <v>Не заполнено</v>
      </c>
    </row>
    <row r="455" spans="3:5" ht="15">
      <c r="C455" s="8" t="s">
        <v>88</v>
      </c>
      <c r="E455" s="225"/>
    </row>
    <row r="456" spans="1:6" ht="15">
      <c r="A456" s="42"/>
      <c r="B456" s="59"/>
      <c r="C456" s="41"/>
      <c r="D456" s="30"/>
      <c r="E456" s="225"/>
      <c r="F456" s="222">
        <f>SUM(F4:F454)</f>
        <v>0</v>
      </c>
    </row>
    <row r="457" spans="1:5" ht="15">
      <c r="A457" s="42"/>
      <c r="B457" s="59"/>
      <c r="C457" s="273" t="str">
        <f>IF(F456=332,"Спасибо, Вы заполнили все необходимые ячейки, отчет принимается к рассмотрению содержания по существу.","   ")</f>
        <v>   </v>
      </c>
      <c r="D457" s="273"/>
      <c r="E457" s="225"/>
    </row>
    <row r="458" spans="1:5" ht="18" customHeight="1">
      <c r="A458" s="42"/>
      <c r="B458" s="59"/>
      <c r="C458" s="273"/>
      <c r="D458" s="273"/>
      <c r="E458" s="225"/>
    </row>
    <row r="459" spans="1:5" ht="15">
      <c r="A459" s="42"/>
      <c r="B459" s="59"/>
      <c r="C459" s="267" t="str">
        <f>IF(F456&lt;332,"Не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  <v>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</v>
      </c>
      <c r="D459" s="267"/>
      <c r="E459" s="225"/>
    </row>
    <row r="460" spans="1:5" ht="15">
      <c r="A460" s="42"/>
      <c r="B460" s="59"/>
      <c r="C460" s="267"/>
      <c r="D460" s="267"/>
      <c r="E460" s="225"/>
    </row>
    <row r="461" spans="1:5" ht="15">
      <c r="A461" s="42"/>
      <c r="B461" s="59"/>
      <c r="C461" s="267"/>
      <c r="D461" s="267"/>
      <c r="E461" s="225"/>
    </row>
    <row r="462" spans="1:5" ht="15">
      <c r="A462" s="42"/>
      <c r="B462" s="59"/>
      <c r="C462" s="267"/>
      <c r="D462" s="267"/>
      <c r="E462" s="225"/>
    </row>
    <row r="463" spans="1:5" ht="15">
      <c r="A463" s="42"/>
      <c r="B463" s="59"/>
      <c r="C463" s="41"/>
      <c r="D463" s="30"/>
      <c r="E463" s="225"/>
    </row>
    <row r="464" spans="1:5" ht="15">
      <c r="A464" s="42"/>
      <c r="B464" s="59"/>
      <c r="C464" s="41"/>
      <c r="D464" s="30"/>
      <c r="E464" s="225"/>
    </row>
    <row r="465" spans="1:5" ht="15">
      <c r="A465" s="42"/>
      <c r="B465" s="59"/>
      <c r="C465" s="41"/>
      <c r="D465" s="30"/>
      <c r="E465" s="225"/>
    </row>
    <row r="466" spans="1:5" ht="15">
      <c r="A466" s="42"/>
      <c r="B466" s="59"/>
      <c r="C466" s="41"/>
      <c r="D466" s="30"/>
      <c r="E466" s="225"/>
    </row>
    <row r="467" spans="1:5" ht="15">
      <c r="A467" s="42"/>
      <c r="B467" s="59"/>
      <c r="C467" s="41"/>
      <c r="D467" s="30"/>
      <c r="E467" s="225"/>
    </row>
    <row r="468" spans="1:5" ht="15">
      <c r="A468" s="42"/>
      <c r="B468" s="59"/>
      <c r="C468" s="41"/>
      <c r="D468" s="30"/>
      <c r="E468" s="225"/>
    </row>
    <row r="469" spans="1:5" ht="15">
      <c r="A469" s="42"/>
      <c r="B469" s="59"/>
      <c r="C469" s="41"/>
      <c r="D469" s="30"/>
      <c r="E469" s="225"/>
    </row>
    <row r="470" spans="1:5" ht="15">
      <c r="A470" s="42"/>
      <c r="B470" s="59"/>
      <c r="C470" s="41"/>
      <c r="D470" s="30"/>
      <c r="E470" s="225"/>
    </row>
    <row r="471" spans="1:5" ht="15">
      <c r="A471" s="42"/>
      <c r="B471" s="59"/>
      <c r="C471" s="41"/>
      <c r="D471" s="30"/>
      <c r="E471" s="225"/>
    </row>
    <row r="472" spans="1:5" ht="15">
      <c r="A472" s="42"/>
      <c r="B472" s="59"/>
      <c r="C472" s="41"/>
      <c r="D472" s="30"/>
      <c r="E472" s="225"/>
    </row>
    <row r="473" spans="1:5" ht="15">
      <c r="A473" s="42"/>
      <c r="B473" s="59"/>
      <c r="C473" s="41"/>
      <c r="D473" s="30"/>
      <c r="E473" s="225"/>
    </row>
    <row r="474" spans="1:5" ht="15">
      <c r="A474" s="42"/>
      <c r="B474" s="59"/>
      <c r="C474" s="41"/>
      <c r="D474" s="30"/>
      <c r="E474" s="225"/>
    </row>
    <row r="475" spans="1:5" ht="15">
      <c r="A475" s="42"/>
      <c r="B475" s="59"/>
      <c r="C475" s="41"/>
      <c r="D475" s="30"/>
      <c r="E475" s="225"/>
    </row>
    <row r="476" spans="1:5" ht="15">
      <c r="A476" s="42"/>
      <c r="B476" s="59"/>
      <c r="C476" s="41"/>
      <c r="D476" s="30"/>
      <c r="E476" s="225"/>
    </row>
    <row r="477" spans="1:5" ht="15">
      <c r="A477" s="42"/>
      <c r="B477" s="59"/>
      <c r="C477" s="41"/>
      <c r="D477" s="30"/>
      <c r="E477" s="225"/>
    </row>
    <row r="478" spans="1:5" ht="15">
      <c r="A478" s="42"/>
      <c r="B478" s="59"/>
      <c r="C478" s="41"/>
      <c r="D478" s="30"/>
      <c r="E478" s="225"/>
    </row>
    <row r="479" spans="1:5" ht="15">
      <c r="A479" s="42"/>
      <c r="B479" s="59"/>
      <c r="C479" s="41"/>
      <c r="D479" s="30"/>
      <c r="E479" s="225"/>
    </row>
    <row r="480" spans="1:5" ht="15">
      <c r="A480" s="42"/>
      <c r="B480" s="59"/>
      <c r="C480" s="41"/>
      <c r="D480" s="30"/>
      <c r="E480" s="225"/>
    </row>
    <row r="481" spans="1:5" ht="15">
      <c r="A481" s="42"/>
      <c r="B481" s="59"/>
      <c r="C481" s="41"/>
      <c r="D481" s="30"/>
      <c r="E481" s="225"/>
    </row>
    <row r="482" spans="1:5" ht="15">
      <c r="A482" s="42"/>
      <c r="B482" s="59"/>
      <c r="C482" s="41"/>
      <c r="D482" s="30"/>
      <c r="E482" s="225"/>
    </row>
    <row r="483" spans="1:5" ht="15">
      <c r="A483" s="42"/>
      <c r="B483" s="59"/>
      <c r="C483" s="41"/>
      <c r="D483" s="30"/>
      <c r="E483" s="225"/>
    </row>
    <row r="484" spans="1:5" ht="15">
      <c r="A484" s="42"/>
      <c r="B484" s="59"/>
      <c r="C484" s="41"/>
      <c r="D484" s="30"/>
      <c r="E484" s="225"/>
    </row>
    <row r="485" spans="1:5" ht="15">
      <c r="A485" s="42"/>
      <c r="B485" s="59"/>
      <c r="C485" s="41"/>
      <c r="D485" s="30"/>
      <c r="E485" s="225"/>
    </row>
    <row r="486" spans="1:5" ht="15">
      <c r="A486" s="42"/>
      <c r="B486" s="59"/>
      <c r="C486" s="41"/>
      <c r="D486" s="30"/>
      <c r="E486" s="225"/>
    </row>
    <row r="487" spans="1:5" ht="15">
      <c r="A487" s="42"/>
      <c r="B487" s="59"/>
      <c r="C487" s="41"/>
      <c r="D487" s="30"/>
      <c r="E487" s="225"/>
    </row>
    <row r="488" spans="1:5" ht="15">
      <c r="A488" s="42"/>
      <c r="B488" s="59"/>
      <c r="C488" s="41"/>
      <c r="D488" s="30"/>
      <c r="E488" s="225"/>
    </row>
    <row r="489" spans="1:5" ht="15">
      <c r="A489" s="42"/>
      <c r="B489" s="59"/>
      <c r="C489" s="41"/>
      <c r="D489" s="30"/>
      <c r="E489" s="225"/>
    </row>
    <row r="490" spans="1:5" ht="15">
      <c r="A490" s="42"/>
      <c r="B490" s="59"/>
      <c r="C490" s="41"/>
      <c r="D490" s="30"/>
      <c r="E490" s="225"/>
    </row>
    <row r="491" spans="1:5" ht="15">
      <c r="A491" s="42"/>
      <c r="B491" s="59"/>
      <c r="C491" s="41"/>
      <c r="D491" s="30"/>
      <c r="E491" s="225"/>
    </row>
    <row r="492" spans="1:5" ht="15">
      <c r="A492" s="42"/>
      <c r="B492" s="59"/>
      <c r="C492" s="41"/>
      <c r="D492" s="30"/>
      <c r="E492" s="225"/>
    </row>
    <row r="493" spans="1:5" ht="15">
      <c r="A493" s="42"/>
      <c r="B493" s="59"/>
      <c r="C493" s="41"/>
      <c r="D493" s="30"/>
      <c r="E493" s="225"/>
    </row>
    <row r="494" spans="1:5" ht="15">
      <c r="A494" s="42"/>
      <c r="B494" s="59"/>
      <c r="C494" s="41"/>
      <c r="D494" s="30"/>
      <c r="E494" s="225"/>
    </row>
    <row r="495" spans="1:5" ht="15">
      <c r="A495" s="42"/>
      <c r="B495" s="59"/>
      <c r="C495" s="41"/>
      <c r="D495" s="30"/>
      <c r="E495" s="225"/>
    </row>
    <row r="496" spans="1:5" ht="15">
      <c r="A496" s="42"/>
      <c r="B496" s="59"/>
      <c r="C496" s="41"/>
      <c r="D496" s="30"/>
      <c r="E496" s="225"/>
    </row>
    <row r="497" spans="1:5" ht="15">
      <c r="A497" s="42"/>
      <c r="B497" s="59"/>
      <c r="C497" s="41"/>
      <c r="D497" s="30"/>
      <c r="E497" s="225"/>
    </row>
    <row r="498" spans="1:5" ht="15">
      <c r="A498" s="42"/>
      <c r="B498" s="59"/>
      <c r="C498" s="41"/>
      <c r="D498" s="30"/>
      <c r="E498" s="225"/>
    </row>
    <row r="499" spans="1:5" ht="15">
      <c r="A499" s="42"/>
      <c r="B499" s="59"/>
      <c r="C499" s="41"/>
      <c r="D499" s="30"/>
      <c r="E499" s="225"/>
    </row>
    <row r="500" spans="1:5" ht="15">
      <c r="A500" s="42"/>
      <c r="B500" s="59"/>
      <c r="C500" s="41"/>
      <c r="D500" s="30"/>
      <c r="E500" s="225"/>
    </row>
    <row r="501" spans="1:5" ht="15">
      <c r="A501" s="42"/>
      <c r="B501" s="59"/>
      <c r="C501" s="41"/>
      <c r="D501" s="30"/>
      <c r="E501" s="225"/>
    </row>
    <row r="502" spans="1:5" ht="15">
      <c r="A502" s="42"/>
      <c r="B502" s="59"/>
      <c r="C502" s="41"/>
      <c r="D502" s="30"/>
      <c r="E502" s="225"/>
    </row>
    <row r="503" spans="1:5" ht="15">
      <c r="A503" s="42"/>
      <c r="B503" s="59"/>
      <c r="C503" s="41"/>
      <c r="D503" s="30"/>
      <c r="E503" s="225"/>
    </row>
    <row r="504" spans="1:5" ht="15">
      <c r="A504" s="42"/>
      <c r="B504" s="59"/>
      <c r="C504" s="41"/>
      <c r="D504" s="30"/>
      <c r="E504" s="225"/>
    </row>
    <row r="505" spans="1:5" ht="15">
      <c r="A505" s="42"/>
      <c r="B505" s="59"/>
      <c r="C505" s="41"/>
      <c r="D505" s="30"/>
      <c r="E505" s="225"/>
    </row>
    <row r="506" spans="1:5" ht="15">
      <c r="A506" s="42"/>
      <c r="B506" s="59"/>
      <c r="C506" s="41"/>
      <c r="D506" s="30"/>
      <c r="E506" s="225"/>
    </row>
    <row r="507" spans="1:5" ht="15">
      <c r="A507" s="42"/>
      <c r="B507" s="59"/>
      <c r="C507" s="41"/>
      <c r="D507" s="30"/>
      <c r="E507" s="225"/>
    </row>
    <row r="508" spans="1:5" ht="15">
      <c r="A508" s="42"/>
      <c r="B508" s="59"/>
      <c r="C508" s="41"/>
      <c r="D508" s="30"/>
      <c r="E508" s="225"/>
    </row>
    <row r="509" spans="1:5" ht="15">
      <c r="A509" s="42"/>
      <c r="B509" s="59"/>
      <c r="C509" s="41"/>
      <c r="D509" s="30"/>
      <c r="E509" s="225"/>
    </row>
    <row r="510" spans="1:5" ht="15">
      <c r="A510" s="42"/>
      <c r="B510" s="59"/>
      <c r="C510" s="41"/>
      <c r="D510" s="30"/>
      <c r="E510" s="225"/>
    </row>
    <row r="511" spans="1:5" ht="15">
      <c r="A511" s="42"/>
      <c r="B511" s="59"/>
      <c r="C511" s="41"/>
      <c r="D511" s="30"/>
      <c r="E511" s="225"/>
    </row>
    <row r="512" spans="1:5" ht="15">
      <c r="A512" s="42"/>
      <c r="B512" s="59"/>
      <c r="C512" s="41"/>
      <c r="D512" s="30"/>
      <c r="E512" s="225"/>
    </row>
    <row r="513" spans="1:5" ht="15">
      <c r="A513" s="42"/>
      <c r="B513" s="59"/>
      <c r="C513" s="41"/>
      <c r="D513" s="30"/>
      <c r="E513" s="225"/>
    </row>
    <row r="514" spans="1:5" ht="15">
      <c r="A514" s="42"/>
      <c r="B514" s="59"/>
      <c r="C514" s="41"/>
      <c r="D514" s="30"/>
      <c r="E514" s="225"/>
    </row>
    <row r="515" spans="1:5" ht="15">
      <c r="A515" s="42"/>
      <c r="B515" s="59"/>
      <c r="C515" s="41"/>
      <c r="D515" s="30"/>
      <c r="E515" s="225"/>
    </row>
    <row r="516" spans="1:5" ht="15">
      <c r="A516" s="42"/>
      <c r="B516" s="59"/>
      <c r="C516" s="41"/>
      <c r="D516" s="30"/>
      <c r="E516" s="225"/>
    </row>
    <row r="517" spans="1:5" ht="15">
      <c r="A517" s="42"/>
      <c r="B517" s="59"/>
      <c r="C517" s="41"/>
      <c r="D517" s="30"/>
      <c r="E517" s="225"/>
    </row>
    <row r="518" spans="1:5" ht="15">
      <c r="A518" s="42"/>
      <c r="B518" s="59"/>
      <c r="C518" s="41"/>
      <c r="D518" s="30"/>
      <c r="E518" s="225"/>
    </row>
    <row r="519" spans="1:5" ht="15">
      <c r="A519" s="42"/>
      <c r="B519" s="59"/>
      <c r="C519" s="41"/>
      <c r="D519" s="30"/>
      <c r="E519" s="225"/>
    </row>
    <row r="520" spans="1:5" ht="15">
      <c r="A520" s="42"/>
      <c r="B520" s="59"/>
      <c r="C520" s="41"/>
      <c r="D520" s="30"/>
      <c r="E520" s="225"/>
    </row>
    <row r="521" spans="1:5" ht="15">
      <c r="A521" s="42"/>
      <c r="B521" s="59"/>
      <c r="C521" s="41"/>
      <c r="D521" s="30"/>
      <c r="E521" s="225"/>
    </row>
    <row r="522" spans="1:5" ht="15">
      <c r="A522" s="42"/>
      <c r="B522" s="59"/>
      <c r="C522" s="41"/>
      <c r="D522" s="30"/>
      <c r="E522" s="225"/>
    </row>
    <row r="523" spans="1:5" ht="15">
      <c r="A523" s="42"/>
      <c r="B523" s="59"/>
      <c r="C523" s="41"/>
      <c r="D523" s="30"/>
      <c r="E523" s="225"/>
    </row>
    <row r="524" spans="1:5" ht="15">
      <c r="A524" s="42"/>
      <c r="B524" s="59"/>
      <c r="C524" s="41"/>
      <c r="D524" s="30"/>
      <c r="E524" s="225"/>
    </row>
    <row r="525" spans="1:5" ht="15">
      <c r="A525" s="42"/>
      <c r="B525" s="59"/>
      <c r="C525" s="41"/>
      <c r="D525" s="30"/>
      <c r="E525" s="225"/>
    </row>
    <row r="526" spans="1:5" ht="15">
      <c r="A526" s="42"/>
      <c r="B526" s="59"/>
      <c r="C526" s="41"/>
      <c r="D526" s="30"/>
      <c r="E526" s="225"/>
    </row>
    <row r="527" spans="1:5" ht="15">
      <c r="A527" s="42"/>
      <c r="B527" s="59"/>
      <c r="C527" s="41"/>
      <c r="D527" s="30"/>
      <c r="E527" s="225"/>
    </row>
    <row r="528" spans="1:5" ht="15">
      <c r="A528" s="42"/>
      <c r="B528" s="59"/>
      <c r="C528" s="41"/>
      <c r="D528" s="30"/>
      <c r="E528" s="225"/>
    </row>
    <row r="529" spans="1:5" ht="15">
      <c r="A529" s="42"/>
      <c r="B529" s="59"/>
      <c r="C529" s="41"/>
      <c r="D529" s="30"/>
      <c r="E529" s="225"/>
    </row>
    <row r="530" spans="1:5" ht="15">
      <c r="A530" s="42"/>
      <c r="B530" s="59"/>
      <c r="C530" s="41"/>
      <c r="D530" s="30"/>
      <c r="E530" s="225"/>
    </row>
    <row r="531" spans="1:5" ht="15">
      <c r="A531" s="42"/>
      <c r="B531" s="59"/>
      <c r="C531" s="41"/>
      <c r="D531" s="30"/>
      <c r="E531" s="225"/>
    </row>
    <row r="532" spans="1:5" ht="15">
      <c r="A532" s="42"/>
      <c r="B532" s="59"/>
      <c r="C532" s="41"/>
      <c r="D532" s="30"/>
      <c r="E532" s="225"/>
    </row>
    <row r="533" spans="1:5" ht="15">
      <c r="A533" s="42"/>
      <c r="B533" s="59"/>
      <c r="C533" s="41"/>
      <c r="D533" s="30"/>
      <c r="E533" s="225"/>
    </row>
    <row r="534" spans="1:5" ht="15">
      <c r="A534" s="42"/>
      <c r="B534" s="59"/>
      <c r="C534" s="41"/>
      <c r="D534" s="30"/>
      <c r="E534" s="225"/>
    </row>
    <row r="535" spans="1:5" ht="15">
      <c r="A535" s="42"/>
      <c r="B535" s="59"/>
      <c r="C535" s="41"/>
      <c r="D535" s="30"/>
      <c r="E535" s="225"/>
    </row>
    <row r="536" spans="1:5" ht="15">
      <c r="A536" s="42"/>
      <c r="B536" s="59"/>
      <c r="C536" s="41"/>
      <c r="D536" s="30"/>
      <c r="E536" s="225"/>
    </row>
    <row r="537" spans="1:5" ht="15">
      <c r="A537" s="42"/>
      <c r="B537" s="59"/>
      <c r="C537" s="41"/>
      <c r="D537" s="30"/>
      <c r="E537" s="225"/>
    </row>
    <row r="538" spans="1:5" ht="15">
      <c r="A538" s="42"/>
      <c r="B538" s="59"/>
      <c r="C538" s="41"/>
      <c r="D538" s="30"/>
      <c r="E538" s="225"/>
    </row>
    <row r="539" spans="1:5" ht="15">
      <c r="A539" s="42"/>
      <c r="B539" s="59"/>
      <c r="C539" s="41"/>
      <c r="D539" s="30"/>
      <c r="E539" s="225"/>
    </row>
    <row r="540" spans="1:5" ht="15">
      <c r="A540" s="42"/>
      <c r="B540" s="59"/>
      <c r="C540" s="41"/>
      <c r="D540" s="30"/>
      <c r="E540" s="225"/>
    </row>
    <row r="541" spans="1:5" ht="15">
      <c r="A541" s="42"/>
      <c r="B541" s="59"/>
      <c r="C541" s="41"/>
      <c r="D541" s="30"/>
      <c r="E541" s="225"/>
    </row>
    <row r="542" spans="1:5" ht="15">
      <c r="A542" s="42"/>
      <c r="B542" s="59"/>
      <c r="C542" s="41"/>
      <c r="D542" s="30"/>
      <c r="E542" s="225"/>
    </row>
    <row r="543" spans="1:5" ht="15">
      <c r="A543" s="42"/>
      <c r="B543" s="59"/>
      <c r="C543" s="41"/>
      <c r="D543" s="30"/>
      <c r="E543" s="225"/>
    </row>
    <row r="544" spans="1:5" ht="15">
      <c r="A544" s="42"/>
      <c r="B544" s="59"/>
      <c r="C544" s="41"/>
      <c r="D544" s="30"/>
      <c r="E544" s="225"/>
    </row>
    <row r="545" spans="1:5" ht="15">
      <c r="A545" s="42"/>
      <c r="B545" s="59"/>
      <c r="C545" s="41"/>
      <c r="D545" s="30"/>
      <c r="E545" s="225"/>
    </row>
    <row r="546" spans="1:5" ht="15">
      <c r="A546" s="42"/>
      <c r="B546" s="59"/>
      <c r="C546" s="41"/>
      <c r="D546" s="30"/>
      <c r="E546" s="225"/>
    </row>
    <row r="547" spans="1:5" ht="15">
      <c r="A547" s="42"/>
      <c r="B547" s="59"/>
      <c r="C547" s="41"/>
      <c r="D547" s="30"/>
      <c r="E547" s="225"/>
    </row>
    <row r="548" spans="1:5" ht="15">
      <c r="A548" s="42"/>
      <c r="B548" s="59"/>
      <c r="C548" s="41"/>
      <c r="D548" s="30"/>
      <c r="E548" s="225"/>
    </row>
    <row r="549" spans="1:5" ht="15">
      <c r="A549" s="42"/>
      <c r="B549" s="59"/>
      <c r="C549" s="41"/>
      <c r="D549" s="30"/>
      <c r="E549" s="225"/>
    </row>
    <row r="550" spans="1:5" ht="15">
      <c r="A550" s="42"/>
      <c r="B550" s="59"/>
      <c r="C550" s="41"/>
      <c r="D550" s="30"/>
      <c r="E550" s="225"/>
    </row>
    <row r="551" spans="1:5" ht="15">
      <c r="A551" s="42"/>
      <c r="B551" s="59"/>
      <c r="C551" s="41"/>
      <c r="D551" s="30"/>
      <c r="E551" s="225"/>
    </row>
    <row r="552" spans="1:5" ht="15">
      <c r="A552" s="42"/>
      <c r="B552" s="59"/>
      <c r="C552" s="41"/>
      <c r="D552" s="30"/>
      <c r="E552" s="225"/>
    </row>
    <row r="553" spans="1:5" ht="15">
      <c r="A553" s="42"/>
      <c r="B553" s="59"/>
      <c r="C553" s="41"/>
      <c r="D553" s="30"/>
      <c r="E553" s="225"/>
    </row>
    <row r="554" spans="1:5" ht="15">
      <c r="A554" s="42"/>
      <c r="B554" s="59"/>
      <c r="C554" s="41"/>
      <c r="D554" s="30"/>
      <c r="E554" s="225"/>
    </row>
    <row r="555" spans="1:5" ht="15">
      <c r="A555" s="42"/>
      <c r="B555" s="59"/>
      <c r="C555" s="41"/>
      <c r="D555" s="30"/>
      <c r="E555" s="225"/>
    </row>
    <row r="556" spans="1:5" ht="15">
      <c r="A556" s="42"/>
      <c r="B556" s="59"/>
      <c r="C556" s="41"/>
      <c r="D556" s="30"/>
      <c r="E556" s="225"/>
    </row>
    <row r="557" spans="1:5" ht="15">
      <c r="A557" s="42"/>
      <c r="B557" s="59"/>
      <c r="C557" s="41"/>
      <c r="D557" s="30"/>
      <c r="E557" s="225"/>
    </row>
    <row r="558" spans="1:5" ht="15">
      <c r="A558" s="42"/>
      <c r="B558" s="59"/>
      <c r="C558" s="41"/>
      <c r="D558" s="30"/>
      <c r="E558" s="225"/>
    </row>
    <row r="559" spans="1:5" ht="15">
      <c r="A559" s="42"/>
      <c r="B559" s="59"/>
      <c r="C559" s="41"/>
      <c r="D559" s="30"/>
      <c r="E559" s="225"/>
    </row>
    <row r="560" spans="1:5" ht="15">
      <c r="A560" s="42"/>
      <c r="B560" s="59"/>
      <c r="C560" s="41"/>
      <c r="D560" s="30"/>
      <c r="E560" s="225"/>
    </row>
    <row r="561" spans="1:5" ht="15">
      <c r="A561" s="42"/>
      <c r="B561" s="59"/>
      <c r="C561" s="41"/>
      <c r="D561" s="30"/>
      <c r="E561" s="225"/>
    </row>
    <row r="562" spans="1:5" ht="15">
      <c r="A562" s="42"/>
      <c r="B562" s="59"/>
      <c r="C562" s="41"/>
      <c r="D562" s="30"/>
      <c r="E562" s="225"/>
    </row>
    <row r="563" spans="1:5" ht="15">
      <c r="A563" s="42"/>
      <c r="B563" s="59"/>
      <c r="C563" s="41"/>
      <c r="D563" s="30"/>
      <c r="E563" s="225"/>
    </row>
    <row r="564" spans="1:5" ht="15">
      <c r="A564" s="42"/>
      <c r="B564" s="59"/>
      <c r="C564" s="41"/>
      <c r="D564" s="30"/>
      <c r="E564" s="225"/>
    </row>
    <row r="565" spans="1:5" ht="15">
      <c r="A565" s="42"/>
      <c r="B565" s="59"/>
      <c r="C565" s="41"/>
      <c r="D565" s="30"/>
      <c r="E565" s="225"/>
    </row>
    <row r="566" spans="1:5" ht="15">
      <c r="A566" s="42"/>
      <c r="B566" s="59"/>
      <c r="C566" s="41"/>
      <c r="D566" s="30"/>
      <c r="E566" s="225"/>
    </row>
    <row r="567" spans="1:5" ht="15">
      <c r="A567" s="42"/>
      <c r="B567" s="59"/>
      <c r="C567" s="41"/>
      <c r="D567" s="30"/>
      <c r="E567" s="225"/>
    </row>
    <row r="568" spans="1:5" ht="15">
      <c r="A568" s="42"/>
      <c r="B568" s="59"/>
      <c r="C568" s="41"/>
      <c r="D568" s="30"/>
      <c r="E568" s="225"/>
    </row>
    <row r="569" spans="1:5" ht="15">
      <c r="A569" s="42"/>
      <c r="B569" s="59"/>
      <c r="C569" s="41"/>
      <c r="D569" s="30"/>
      <c r="E569" s="225"/>
    </row>
    <row r="570" spans="1:5" ht="15">
      <c r="A570" s="42"/>
      <c r="B570" s="59"/>
      <c r="C570" s="41"/>
      <c r="D570" s="30"/>
      <c r="E570" s="225"/>
    </row>
    <row r="571" spans="1:5" ht="15">
      <c r="A571" s="42"/>
      <c r="B571" s="59"/>
      <c r="C571" s="41"/>
      <c r="D571" s="30"/>
      <c r="E571" s="225"/>
    </row>
    <row r="572" spans="1:5" ht="15">
      <c r="A572" s="42"/>
      <c r="B572" s="59"/>
      <c r="C572" s="41"/>
      <c r="D572" s="30"/>
      <c r="E572" s="225"/>
    </row>
    <row r="573" spans="1:5" ht="15">
      <c r="A573" s="42"/>
      <c r="B573" s="59"/>
      <c r="C573" s="41"/>
      <c r="D573" s="30"/>
      <c r="E573" s="225"/>
    </row>
    <row r="574" spans="1:5" ht="15">
      <c r="A574" s="42"/>
      <c r="B574" s="59"/>
      <c r="C574" s="41"/>
      <c r="D574" s="30"/>
      <c r="E574" s="225"/>
    </row>
    <row r="575" spans="1:5" ht="15">
      <c r="A575" s="42"/>
      <c r="B575" s="59"/>
      <c r="C575" s="41"/>
      <c r="D575" s="30"/>
      <c r="E575" s="225"/>
    </row>
    <row r="576" spans="1:5" ht="15">
      <c r="A576" s="42"/>
      <c r="B576" s="59"/>
      <c r="C576" s="41"/>
      <c r="D576" s="30"/>
      <c r="E576" s="225"/>
    </row>
    <row r="577" spans="1:5" ht="15">
      <c r="A577" s="42"/>
      <c r="B577" s="59"/>
      <c r="C577" s="41"/>
      <c r="D577" s="30"/>
      <c r="E577" s="225"/>
    </row>
    <row r="578" spans="1:5" ht="15">
      <c r="A578" s="42"/>
      <c r="B578" s="59"/>
      <c r="C578" s="41"/>
      <c r="D578" s="30"/>
      <c r="E578" s="225"/>
    </row>
    <row r="579" spans="1:5" ht="15">
      <c r="A579" s="42"/>
      <c r="B579" s="59"/>
      <c r="C579" s="41"/>
      <c r="D579" s="30"/>
      <c r="E579" s="225"/>
    </row>
    <row r="580" spans="1:5" ht="15">
      <c r="A580" s="42"/>
      <c r="B580" s="59"/>
      <c r="C580" s="41"/>
      <c r="D580" s="30"/>
      <c r="E580" s="225"/>
    </row>
    <row r="581" spans="1:5" ht="15">
      <c r="A581" s="42"/>
      <c r="B581" s="59"/>
      <c r="C581" s="41"/>
      <c r="D581" s="30"/>
      <c r="E581" s="225"/>
    </row>
    <row r="582" spans="1:5" ht="15">
      <c r="A582" s="42"/>
      <c r="B582" s="59"/>
      <c r="C582" s="41"/>
      <c r="D582" s="30"/>
      <c r="E582" s="225"/>
    </row>
    <row r="583" spans="1:5" ht="15">
      <c r="A583" s="42"/>
      <c r="B583" s="59"/>
      <c r="C583" s="41"/>
      <c r="D583" s="30"/>
      <c r="E583" s="225"/>
    </row>
    <row r="584" spans="1:5" ht="15">
      <c r="A584" s="42"/>
      <c r="B584" s="59"/>
      <c r="C584" s="41"/>
      <c r="D584" s="30"/>
      <c r="E584" s="225"/>
    </row>
    <row r="585" spans="1:5" ht="15">
      <c r="A585" s="42"/>
      <c r="B585" s="59"/>
      <c r="C585" s="41"/>
      <c r="D585" s="30"/>
      <c r="E585" s="225"/>
    </row>
    <row r="586" spans="1:5" ht="15">
      <c r="A586" s="42"/>
      <c r="B586" s="59"/>
      <c r="C586" s="41"/>
      <c r="D586" s="30"/>
      <c r="E586" s="225"/>
    </row>
    <row r="587" spans="1:5" ht="15">
      <c r="A587" s="42"/>
      <c r="B587" s="59"/>
      <c r="C587" s="41"/>
      <c r="D587" s="30"/>
      <c r="E587" s="225"/>
    </row>
    <row r="588" spans="1:5" ht="15">
      <c r="A588" s="42"/>
      <c r="B588" s="59"/>
      <c r="C588" s="41"/>
      <c r="D588" s="30"/>
      <c r="E588" s="225"/>
    </row>
    <row r="589" spans="1:5" ht="15">
      <c r="A589" s="42"/>
      <c r="B589" s="59"/>
      <c r="C589" s="41"/>
      <c r="D589" s="30"/>
      <c r="E589" s="225"/>
    </row>
    <row r="590" spans="1:5" ht="15">
      <c r="A590" s="42"/>
      <c r="B590" s="59"/>
      <c r="C590" s="41"/>
      <c r="D590" s="30"/>
      <c r="E590" s="225"/>
    </row>
    <row r="591" spans="1:5" ht="15">
      <c r="A591" s="42"/>
      <c r="B591" s="59"/>
      <c r="C591" s="41"/>
      <c r="D591" s="30"/>
      <c r="E591" s="225"/>
    </row>
    <row r="592" spans="1:5" ht="15">
      <c r="A592" s="42"/>
      <c r="B592" s="59"/>
      <c r="C592" s="41"/>
      <c r="D592" s="30"/>
      <c r="E592" s="225"/>
    </row>
    <row r="593" spans="1:5" ht="15">
      <c r="A593" s="42"/>
      <c r="B593" s="59"/>
      <c r="C593" s="41"/>
      <c r="D593" s="30"/>
      <c r="E593" s="225"/>
    </row>
    <row r="594" spans="1:5" ht="15">
      <c r="A594" s="42"/>
      <c r="B594" s="59"/>
      <c r="C594" s="41"/>
      <c r="D594" s="30"/>
      <c r="E594" s="225"/>
    </row>
    <row r="595" spans="1:5" ht="15">
      <c r="A595" s="42"/>
      <c r="B595" s="59"/>
      <c r="C595" s="41"/>
      <c r="D595" s="30"/>
      <c r="E595" s="225"/>
    </row>
    <row r="596" spans="1:5" ht="15">
      <c r="A596" s="42"/>
      <c r="B596" s="59"/>
      <c r="C596" s="41"/>
      <c r="D596" s="30"/>
      <c r="E596" s="225"/>
    </row>
    <row r="597" spans="1:5" ht="15">
      <c r="A597" s="42"/>
      <c r="B597" s="59"/>
      <c r="C597" s="41"/>
      <c r="D597" s="30"/>
      <c r="E597" s="225"/>
    </row>
  </sheetData>
  <sheetProtection sheet="1" objects="1" scenarios="1" selectLockedCells="1"/>
  <mergeCells count="155">
    <mergeCell ref="B427:C427"/>
    <mergeCell ref="B374:C374"/>
    <mergeCell ref="B382:C382"/>
    <mergeCell ref="B373:C373"/>
    <mergeCell ref="B370:C370"/>
    <mergeCell ref="B384:C384"/>
    <mergeCell ref="B375:C375"/>
    <mergeCell ref="B332:C332"/>
    <mergeCell ref="B331:C331"/>
    <mergeCell ref="B388:C388"/>
    <mergeCell ref="B395:C395"/>
    <mergeCell ref="B408:C408"/>
    <mergeCell ref="B421:C421"/>
    <mergeCell ref="B415:C415"/>
    <mergeCell ref="B381:C381"/>
    <mergeCell ref="B368:C368"/>
    <mergeCell ref="B369:C369"/>
    <mergeCell ref="B372:C372"/>
    <mergeCell ref="B287:C287"/>
    <mergeCell ref="B371:C371"/>
    <mergeCell ref="B376:C376"/>
    <mergeCell ref="B292:C292"/>
    <mergeCell ref="B402:C402"/>
    <mergeCell ref="B334:C334"/>
    <mergeCell ref="B314:C314"/>
    <mergeCell ref="B329:C329"/>
    <mergeCell ref="B205:C205"/>
    <mergeCell ref="B257:C257"/>
    <mergeCell ref="B283:C283"/>
    <mergeCell ref="B325:C325"/>
    <mergeCell ref="B326:C326"/>
    <mergeCell ref="B288:C288"/>
    <mergeCell ref="B303:C303"/>
    <mergeCell ref="B284:C284"/>
    <mergeCell ref="B367:C367"/>
    <mergeCell ref="B285:C285"/>
    <mergeCell ref="B286:C286"/>
    <mergeCell ref="B289:C289"/>
    <mergeCell ref="B291:C291"/>
    <mergeCell ref="B181:C181"/>
    <mergeCell ref="B183:C183"/>
    <mergeCell ref="B280:C280"/>
    <mergeCell ref="B279:C279"/>
    <mergeCell ref="B243:C243"/>
    <mergeCell ref="B200:C200"/>
    <mergeCell ref="B217:C217"/>
    <mergeCell ref="B207:C207"/>
    <mergeCell ref="B208:C208"/>
    <mergeCell ref="B276:C276"/>
    <mergeCell ref="B278:C278"/>
    <mergeCell ref="B238:C238"/>
    <mergeCell ref="B189:C189"/>
    <mergeCell ref="B195:C195"/>
    <mergeCell ref="B204:C204"/>
    <mergeCell ref="B202:C202"/>
    <mergeCell ref="B277:C277"/>
    <mergeCell ref="B185:C185"/>
    <mergeCell ref="B186:C186"/>
    <mergeCell ref="B206:C206"/>
    <mergeCell ref="B239:C239"/>
    <mergeCell ref="B215:C215"/>
    <mergeCell ref="B211:C211"/>
    <mergeCell ref="B237:C237"/>
    <mergeCell ref="B41:C41"/>
    <mergeCell ref="B48:C48"/>
    <mergeCell ref="B159:C159"/>
    <mergeCell ref="B132:C132"/>
    <mergeCell ref="B149:C149"/>
    <mergeCell ref="B134:C134"/>
    <mergeCell ref="B94:D94"/>
    <mergeCell ref="B68:C68"/>
    <mergeCell ref="B34:C34"/>
    <mergeCell ref="B56:C56"/>
    <mergeCell ref="B49:C49"/>
    <mergeCell ref="B89:C89"/>
    <mergeCell ref="B95:C95"/>
    <mergeCell ref="B106:C106"/>
    <mergeCell ref="B151:C151"/>
    <mergeCell ref="B107:C107"/>
    <mergeCell ref="B111:C111"/>
    <mergeCell ref="B168:C168"/>
    <mergeCell ref="C160:D160"/>
    <mergeCell ref="B172:C172"/>
    <mergeCell ref="B128:C128"/>
    <mergeCell ref="B140:C140"/>
    <mergeCell ref="B130:C130"/>
    <mergeCell ref="B133:C133"/>
    <mergeCell ref="B171:C171"/>
    <mergeCell ref="B138:C138"/>
    <mergeCell ref="B143:C143"/>
    <mergeCell ref="B142:C142"/>
    <mergeCell ref="B148:C148"/>
    <mergeCell ref="B170:C170"/>
    <mergeCell ref="B147:C147"/>
    <mergeCell ref="B1:C1"/>
    <mergeCell ref="B2:C2"/>
    <mergeCell ref="B15:C15"/>
    <mergeCell ref="B16:C16"/>
    <mergeCell ref="B20:C20"/>
    <mergeCell ref="B8:C8"/>
    <mergeCell ref="B9:C9"/>
    <mergeCell ref="B10:C10"/>
    <mergeCell ref="B12:C12"/>
    <mergeCell ref="B13:C13"/>
    <mergeCell ref="C6:D6"/>
    <mergeCell ref="B11:C11"/>
    <mergeCell ref="B18:C18"/>
    <mergeCell ref="B21:C21"/>
    <mergeCell ref="B135:C135"/>
    <mergeCell ref="B121:C121"/>
    <mergeCell ref="B27:C27"/>
    <mergeCell ref="B173:C173"/>
    <mergeCell ref="B428:C428"/>
    <mergeCell ref="B81:C81"/>
    <mergeCell ref="B212:C212"/>
    <mergeCell ref="B210:C210"/>
    <mergeCell ref="B63:C63"/>
    <mergeCell ref="B96:C96"/>
    <mergeCell ref="B77:C77"/>
    <mergeCell ref="B73:C73"/>
    <mergeCell ref="B30:C30"/>
    <mergeCell ref="B23:C23"/>
    <mergeCell ref="B24:C24"/>
    <mergeCell ref="B25:C25"/>
    <mergeCell ref="B26:C26"/>
    <mergeCell ref="B85:C85"/>
    <mergeCell ref="B178:C178"/>
    <mergeCell ref="B216:C216"/>
    <mergeCell ref="B180:C180"/>
    <mergeCell ref="B179:C179"/>
    <mergeCell ref="B175:C175"/>
    <mergeCell ref="C459:D462"/>
    <mergeCell ref="B22:C22"/>
    <mergeCell ref="B166:C166"/>
    <mergeCell ref="B187:C187"/>
    <mergeCell ref="B213:C213"/>
    <mergeCell ref="B222:C222"/>
    <mergeCell ref="C457:D458"/>
    <mergeCell ref="B387:C387"/>
    <mergeCell ref="B290:C290"/>
    <mergeCell ref="B433:C433"/>
    <mergeCell ref="B386:C386"/>
    <mergeCell ref="B281:C281"/>
    <mergeCell ref="B227:C227"/>
    <mergeCell ref="B330:C330"/>
    <mergeCell ref="A328:C328"/>
    <mergeCell ref="B383:C383"/>
    <mergeCell ref="B385:C385"/>
    <mergeCell ref="B232:C232"/>
    <mergeCell ref="B282:C282"/>
    <mergeCell ref="B176:C176"/>
    <mergeCell ref="B141:C141"/>
    <mergeCell ref="B102:C102"/>
    <mergeCell ref="B100:C100"/>
    <mergeCell ref="B101:C101"/>
  </mergeCells>
  <conditionalFormatting sqref="H11:H14">
    <cfRule type="cellIs" priority="120" dxfId="109" operator="greaterThan" stopIfTrue="1">
      <formula>0</formula>
    </cfRule>
  </conditionalFormatting>
  <conditionalFormatting sqref="H14">
    <cfRule type="cellIs" priority="118" dxfId="109" operator="greaterThan" stopIfTrue="1">
      <formula>0</formula>
    </cfRule>
    <cfRule type="cellIs" priority="119" dxfId="109" operator="greaterThan" stopIfTrue="1">
      <formula>0</formula>
    </cfRule>
  </conditionalFormatting>
  <conditionalFormatting sqref="H16:H23">
    <cfRule type="cellIs" priority="117" dxfId="109" operator="greaterThan" stopIfTrue="1">
      <formula>0</formula>
    </cfRule>
  </conditionalFormatting>
  <conditionalFormatting sqref="H16:H23">
    <cfRule type="cellIs" priority="115" dxfId="109" operator="greaterThan" stopIfTrue="1">
      <formula>0</formula>
    </cfRule>
    <cfRule type="cellIs" priority="116" dxfId="109" operator="greaterThan" stopIfTrue="1">
      <formula>0</formula>
    </cfRule>
  </conditionalFormatting>
  <conditionalFormatting sqref="H16:H17">
    <cfRule type="cellIs" priority="114" dxfId="109" operator="lessThan" stopIfTrue="1">
      <formula>0</formula>
    </cfRule>
  </conditionalFormatting>
  <conditionalFormatting sqref="H26">
    <cfRule type="cellIs" priority="113" dxfId="109" operator="greaterThan" stopIfTrue="1">
      <formula>0</formula>
    </cfRule>
  </conditionalFormatting>
  <conditionalFormatting sqref="H27:H29">
    <cfRule type="cellIs" priority="110" dxfId="109" operator="greaterThan" stopIfTrue="1">
      <formula>0</formula>
    </cfRule>
    <cfRule type="cellIs" priority="111" dxfId="109" operator="lessThan" stopIfTrue="1">
      <formula>0</formula>
    </cfRule>
    <cfRule type="cellIs" priority="112" dxfId="109" operator="lessThan" stopIfTrue="1">
      <formula>0</formula>
    </cfRule>
  </conditionalFormatting>
  <conditionalFormatting sqref="H41 H30:H34">
    <cfRule type="cellIs" priority="109" dxfId="109" operator="greaterThan" stopIfTrue="1">
      <formula>0</formula>
    </cfRule>
  </conditionalFormatting>
  <conditionalFormatting sqref="H42:H47 H35:H40">
    <cfRule type="cellIs" priority="106" dxfId="109" operator="greaterThan" stopIfTrue="1">
      <formula>0</formula>
    </cfRule>
    <cfRule type="cellIs" priority="107" dxfId="109" operator="lessThan" stopIfTrue="1">
      <formula>0</formula>
    </cfRule>
    <cfRule type="cellIs" priority="108" dxfId="109" operator="lessThan" stopIfTrue="1">
      <formula>0</formula>
    </cfRule>
  </conditionalFormatting>
  <conditionalFormatting sqref="H73 H78:H88 H68 H63 H49 H56">
    <cfRule type="cellIs" priority="105" dxfId="109" operator="greaterThan" stopIfTrue="1">
      <formula>0</formula>
    </cfRule>
  </conditionalFormatting>
  <conditionalFormatting sqref="H79:H80">
    <cfRule type="cellIs" priority="102" dxfId="109" operator="greaterThan" stopIfTrue="1">
      <formula>0</formula>
    </cfRule>
    <cfRule type="cellIs" priority="103" dxfId="109" operator="greaterThan" stopIfTrue="1">
      <formula>0</formula>
    </cfRule>
    <cfRule type="cellIs" priority="104" dxfId="109" operator="greaterThan" stopIfTrue="1">
      <formula>0</formula>
    </cfRule>
  </conditionalFormatting>
  <conditionalFormatting sqref="H82:H88 H77:H78">
    <cfRule type="cellIs" priority="100" dxfId="109" operator="greaterThan" stopIfTrue="1">
      <formula>0</formula>
    </cfRule>
    <cfRule type="cellIs" priority="101" dxfId="109" operator="greaterThan" stopIfTrue="1">
      <formula>0</formula>
    </cfRule>
  </conditionalFormatting>
  <conditionalFormatting sqref="H74:H76 H50:H55 H64:H67 H69:H72 H57:H62">
    <cfRule type="cellIs" priority="97" dxfId="109" operator="greaterThan" stopIfTrue="1">
      <formula>0</formula>
    </cfRule>
    <cfRule type="cellIs" priority="98" dxfId="109" operator="lessThan" stopIfTrue="1">
      <formula>0</formula>
    </cfRule>
    <cfRule type="cellIs" priority="99" dxfId="109" operator="lessThan" stopIfTrue="1">
      <formula>0</formula>
    </cfRule>
  </conditionalFormatting>
  <conditionalFormatting sqref="H96">
    <cfRule type="containsText" priority="96" dxfId="109" operator="containsText" stopIfTrue="1" text="НЕПРАВИЛЬНО">
      <formula>NOT(ISERROR(SEARCH("НЕПРАВИЛЬНО",H96)))</formula>
    </cfRule>
  </conditionalFormatting>
  <conditionalFormatting sqref="H102:H105">
    <cfRule type="cellIs" priority="93" dxfId="109" operator="greaterThan" stopIfTrue="1">
      <formula>0</formula>
    </cfRule>
    <cfRule type="cellIs" priority="94" dxfId="109" operator="lessThan" stopIfTrue="1">
      <formula>0</formula>
    </cfRule>
    <cfRule type="cellIs" priority="95" dxfId="109" operator="lessThan" stopIfTrue="1">
      <formula>0</formula>
    </cfRule>
  </conditionalFormatting>
  <conditionalFormatting sqref="H96">
    <cfRule type="cellIs" priority="91" dxfId="109" operator="lessThan" stopIfTrue="1">
      <formula>0</formula>
    </cfRule>
    <cfRule type="cellIs" priority="92" dxfId="109" operator="greaterThan" stopIfTrue="1">
      <formula>0</formula>
    </cfRule>
  </conditionalFormatting>
  <conditionalFormatting sqref="H203 H169 H130">
    <cfRule type="cellIs" priority="90" dxfId="109" operator="greaterThan" stopIfTrue="1">
      <formula>0</formula>
    </cfRule>
  </conditionalFormatting>
  <conditionalFormatting sqref="H168 H202 H187 H131">
    <cfRule type="cellIs" priority="82" dxfId="109" operator="greaterThan" stopIfTrue="1">
      <formula>0</formula>
    </cfRule>
    <cfRule type="cellIs" priority="83" dxfId="109" operator="lessThan" stopIfTrue="1">
      <formula>0</formula>
    </cfRule>
    <cfRule type="cellIs" priority="84" dxfId="109" operator="lessThan" stopIfTrue="1">
      <formula>0</formula>
    </cfRule>
  </conditionalFormatting>
  <conditionalFormatting sqref="H111 H149 H188">
    <cfRule type="containsText" priority="74" dxfId="109" operator="containsText" stopIfTrue="1" text="0">
      <formula>NOT(ISERROR(SEARCH("0",H111)))</formula>
    </cfRule>
    <cfRule type="containsText" priority="80" dxfId="110" operator="containsText" stopIfTrue="1" text="ЛОЖЬ">
      <formula>NOT(ISERROR(SEARCH("ЛОЖЬ",H111)))</formula>
    </cfRule>
  </conditionalFormatting>
  <conditionalFormatting sqref="H111 H149 H188">
    <cfRule type="containsText" priority="79" dxfId="110" operator="containsText" stopIfTrue="1" text="ЛОЖЬ">
      <formula>NOT(ISERROR(SEARCH("ЛОЖЬ",H111)))</formula>
    </cfRule>
  </conditionalFormatting>
  <conditionalFormatting sqref="H188">
    <cfRule type="duplicateValues" priority="75" dxfId="109" stopIfTrue="1">
      <formula>AND(COUNTIF($H$188:$H$188,H188)&gt;1,NOT(ISBLANK(H188)))</formula>
    </cfRule>
    <cfRule type="cellIs" priority="76" dxfId="109" operator="greaterThan" stopIfTrue="1">
      <formula>0</formula>
    </cfRule>
    <cfRule type="cellIs" priority="77" dxfId="109" operator="lessThan" stopIfTrue="1">
      <formula>0</formula>
    </cfRule>
    <cfRule type="containsText" priority="78" dxfId="110" operator="containsText" stopIfTrue="1" text="ЛОЖЬ">
      <formula>NOT(ISERROR(SEARCH("ЛОЖЬ",H188)))</formula>
    </cfRule>
  </conditionalFormatting>
  <conditionalFormatting sqref="H107:H110">
    <cfRule type="cellIs" priority="73" dxfId="109" operator="greaterThan" stopIfTrue="1">
      <formula>0</formula>
    </cfRule>
  </conditionalFormatting>
  <conditionalFormatting sqref="H119:H120">
    <cfRule type="cellIs" priority="72" dxfId="109" operator="greaterThan" stopIfTrue="1">
      <formula>0</formula>
    </cfRule>
  </conditionalFormatting>
  <conditionalFormatting sqref="H126:H127">
    <cfRule type="cellIs" priority="70" dxfId="109" operator="greaterThan" stopIfTrue="1">
      <formula>0</formula>
    </cfRule>
    <cfRule type="cellIs" priority="71" dxfId="109" operator="greaterThan" stopIfTrue="1">
      <formula>0</formula>
    </cfRule>
  </conditionalFormatting>
  <conditionalFormatting sqref="H129 H114:H120 H122:H125">
    <cfRule type="cellIs" priority="67" dxfId="109" operator="greaterThan" stopIfTrue="1">
      <formula>0</formula>
    </cfRule>
    <cfRule type="cellIs" priority="68" dxfId="109" operator="lessThan" stopIfTrue="1">
      <formula>0</formula>
    </cfRule>
    <cfRule type="cellIs" priority="69" dxfId="109" operator="lessThan" stopIfTrue="1">
      <formula>0</formula>
    </cfRule>
  </conditionalFormatting>
  <conditionalFormatting sqref="H138:H139 H148">
    <cfRule type="cellIs" priority="66" dxfId="109" operator="greaterThan" stopIfTrue="1">
      <formula>0</formula>
    </cfRule>
  </conditionalFormatting>
  <conditionalFormatting sqref="H137 H145:H146">
    <cfRule type="cellIs" priority="64" dxfId="109" operator="greaterThan" stopIfTrue="1">
      <formula>0</formula>
    </cfRule>
    <cfRule type="cellIs" priority="65" dxfId="109" operator="greaterThan" stopIfTrue="1">
      <formula>0</formula>
    </cfRule>
  </conditionalFormatting>
  <conditionalFormatting sqref="H132:H148">
    <cfRule type="cellIs" priority="61" dxfId="109" operator="greaterThan" stopIfTrue="1">
      <formula>0</formula>
    </cfRule>
    <cfRule type="cellIs" priority="62" dxfId="109" operator="lessThan" stopIfTrue="1">
      <formula>0</formula>
    </cfRule>
    <cfRule type="cellIs" priority="63" dxfId="109" operator="lessThan" stopIfTrue="1">
      <formula>0</formula>
    </cfRule>
  </conditionalFormatting>
  <conditionalFormatting sqref="H167 H152:H158 H160:H165">
    <cfRule type="cellIs" priority="58" dxfId="109" operator="greaterThan" stopIfTrue="1">
      <formula>0</formula>
    </cfRule>
    <cfRule type="cellIs" priority="59" dxfId="109" operator="lessThan" stopIfTrue="1">
      <formula>0</formula>
    </cfRule>
    <cfRule type="cellIs" priority="60" dxfId="109" operator="lessThan" stopIfTrue="1">
      <formula>0</formula>
    </cfRule>
  </conditionalFormatting>
  <conditionalFormatting sqref="H170:H186">
    <cfRule type="cellIs" priority="55" dxfId="109" operator="greaterThan" stopIfTrue="1">
      <formula>0</formula>
    </cfRule>
    <cfRule type="cellIs" priority="56" dxfId="109" operator="lessThan" stopIfTrue="1">
      <formula>0</formula>
    </cfRule>
    <cfRule type="cellIs" priority="57" dxfId="109" operator="lessThan" stopIfTrue="1">
      <formula>0</formula>
    </cfRule>
  </conditionalFormatting>
  <conditionalFormatting sqref="H190:H194 H196:H199 H201">
    <cfRule type="cellIs" priority="52" dxfId="109" operator="greaterThan" stopIfTrue="1">
      <formula>0</formula>
    </cfRule>
    <cfRule type="cellIs" priority="53" dxfId="109" operator="lessThan" stopIfTrue="1">
      <formula>0</formula>
    </cfRule>
    <cfRule type="cellIs" priority="54" dxfId="109" operator="lessThan" stopIfTrue="1">
      <formula>0</formula>
    </cfRule>
  </conditionalFormatting>
  <conditionalFormatting sqref="H228:H231 H233:H236 H223:H226">
    <cfRule type="cellIs" priority="51" dxfId="109" operator="greaterThan" stopIfTrue="1">
      <formula>0</formula>
    </cfRule>
  </conditionalFormatting>
  <conditionalFormatting sqref="H228 H233:H236 H223:H226">
    <cfRule type="cellIs" priority="48" dxfId="109" operator="greaterThan" stopIfTrue="1">
      <formula>0</formula>
    </cfRule>
    <cfRule type="cellIs" priority="49" dxfId="109" operator="greaterThan" stopIfTrue="1">
      <formula>0</formula>
    </cfRule>
    <cfRule type="cellIs" priority="50" dxfId="109" operator="greaterThan" stopIfTrue="1">
      <formula>0</formula>
    </cfRule>
  </conditionalFormatting>
  <conditionalFormatting sqref="H229:H231">
    <cfRule type="cellIs" priority="46" dxfId="109" operator="greaterThan" stopIfTrue="1">
      <formula>0</formula>
    </cfRule>
    <cfRule type="cellIs" priority="47" dxfId="109" operator="greaterThan" stopIfTrue="1">
      <formula>0</formula>
    </cfRule>
  </conditionalFormatting>
  <conditionalFormatting sqref="H218:H221 H204:H216">
    <cfRule type="cellIs" priority="43" dxfId="109" operator="greaterThan" stopIfTrue="1">
      <formula>0</formula>
    </cfRule>
    <cfRule type="cellIs" priority="44" dxfId="109" operator="lessThan" stopIfTrue="1">
      <formula>0</formula>
    </cfRule>
    <cfRule type="cellIs" priority="45" dxfId="109" operator="lessThan" stopIfTrue="1">
      <formula>0</formula>
    </cfRule>
  </conditionalFormatting>
  <conditionalFormatting sqref="H235:H236">
    <cfRule type="cellIs" priority="42" dxfId="109" operator="greaterThan" stopIfTrue="1">
      <formula>"правило"</formula>
    </cfRule>
  </conditionalFormatting>
  <conditionalFormatting sqref="H239">
    <cfRule type="cellIs" priority="41" dxfId="109" operator="greaterThan" stopIfTrue="1">
      <formula>0</formula>
    </cfRule>
  </conditionalFormatting>
  <conditionalFormatting sqref="H238">
    <cfRule type="containsText" priority="40" dxfId="111" operator="containsText" stopIfTrue="1" text="НЕПРАВИЛЬНО">
      <formula>NOT(ISERROR(SEARCH("НЕПРАВИЛЬНО",H238)))</formula>
    </cfRule>
  </conditionalFormatting>
  <conditionalFormatting sqref="H245:H249 H253">
    <cfRule type="cellIs" priority="39" dxfId="109" operator="greaterThan" stopIfTrue="1">
      <formula>0</formula>
    </cfRule>
  </conditionalFormatting>
  <conditionalFormatting sqref="H292:H293">
    <cfRule type="containsText" priority="38" dxfId="109" operator="containsText" stopIfTrue="1" text="НЕПРАВИЛЬНО">
      <formula>NOT(ISERROR(SEARCH("НЕПРАВИЛЬНО",H292)))</formula>
    </cfRule>
  </conditionalFormatting>
  <conditionalFormatting sqref="H277">
    <cfRule type="containsText" priority="36" dxfId="112" operator="containsText" stopIfTrue="1" text="НЕПРАВИЛЬНО">
      <formula>NOT(ISERROR(SEARCH("НЕПРАВИЛЬНО",H277)))</formula>
    </cfRule>
  </conditionalFormatting>
  <conditionalFormatting sqref="H279:H281">
    <cfRule type="containsText" priority="35" dxfId="109" operator="containsText" stopIfTrue="1" text="НЕПРАВИЛЬНО">
      <formula>NOT(ISERROR(SEARCH("НЕПРАВИЛЬНО",H279)))</formula>
    </cfRule>
  </conditionalFormatting>
  <conditionalFormatting sqref="H282:H291">
    <cfRule type="containsText" priority="34" dxfId="109" operator="containsText" stopIfTrue="1" text="НЕПРАВИЛЬНО">
      <formula>NOT(ISERROR(SEARCH("НЕПРАВИЛЬНО",H282)))</formula>
    </cfRule>
  </conditionalFormatting>
  <conditionalFormatting sqref="H294 H298">
    <cfRule type="cellIs" priority="33" dxfId="109" operator="greaterThan" stopIfTrue="1">
      <formula>0</formula>
    </cfRule>
  </conditionalFormatting>
  <conditionalFormatting sqref="H305:H309">
    <cfRule type="cellIs" priority="32" dxfId="109" operator="greaterThan" stopIfTrue="1">
      <formula>0</formula>
    </cfRule>
  </conditionalFormatting>
  <conditionalFormatting sqref="H316:H321">
    <cfRule type="cellIs" priority="31" dxfId="109" operator="greaterThan" stopIfTrue="1">
      <formula>0</formula>
    </cfRule>
  </conditionalFormatting>
  <conditionalFormatting sqref="H326">
    <cfRule type="containsText" priority="30" dxfId="113" operator="containsText" stopIfTrue="1" text="НЕПРАВИЛЬНО">
      <formula>NOT(ISERROR(SEARCH("НЕПРАВИЛЬНО",H326)))</formula>
    </cfRule>
  </conditionalFormatting>
  <conditionalFormatting sqref="H327">
    <cfRule type="containsText" priority="29" dxfId="111" operator="containsText" stopIfTrue="1" text="НЕПРАВИЛЬНО">
      <formula>NOT(ISERROR(SEARCH("НЕПРАВИЛЬНО",H327)))</formula>
    </cfRule>
  </conditionalFormatting>
  <conditionalFormatting sqref="H333">
    <cfRule type="containsText" priority="28" dxfId="109" operator="containsText" stopIfTrue="1" text="НЕПРАВИЛЬНО">
      <formula>NOT(ISERROR(SEARCH("НЕПРАВИЛЬНО",H333)))</formula>
    </cfRule>
  </conditionalFormatting>
  <conditionalFormatting sqref="H333">
    <cfRule type="cellIs" priority="26" dxfId="109" operator="lessThan" stopIfTrue="1">
      <formula>0</formula>
    </cfRule>
    <cfRule type="cellIs" priority="27" dxfId="109" operator="greaterThan" stopIfTrue="1">
      <formula>0</formula>
    </cfRule>
  </conditionalFormatting>
  <conditionalFormatting sqref="H346">
    <cfRule type="containsText" priority="25" dxfId="113" operator="containsText" stopIfTrue="1" text="НЕПРАВИЛЬНО">
      <formula>NOT(ISERROR(SEARCH("НЕПРАВИЛЬНО",H346)))</formula>
    </cfRule>
  </conditionalFormatting>
  <conditionalFormatting sqref="H339">
    <cfRule type="containsText" priority="24" dxfId="109" operator="containsText" stopIfTrue="1" text="НЕПРАВИЛЬНО">
      <formula>NOT(ISERROR(SEARCH("НЕПРАВИЛЬНО",H339)))</formula>
    </cfRule>
  </conditionalFormatting>
  <conditionalFormatting sqref="H353">
    <cfRule type="containsText" priority="23" dxfId="109" operator="containsText" stopIfTrue="1" text="НЕПРАВИЛЬНО">
      <formula>NOT(ISERROR(SEARCH("НЕПРАВИЛЬНО",H353)))</formula>
    </cfRule>
  </conditionalFormatting>
  <conditionalFormatting sqref="H389">
    <cfRule type="containsText" priority="22" dxfId="111" operator="containsText" stopIfTrue="1" text="НЕПРАВИЛЬНО">
      <formula>NOT(ISERROR(SEARCH("НЕПРАВИЛЬНО",H389)))</formula>
    </cfRule>
  </conditionalFormatting>
  <conditionalFormatting sqref="H396">
    <cfRule type="containsText" priority="21" dxfId="111" operator="containsText" stopIfTrue="1" text="НЕПРАВИЛЬНО">
      <formula>NOT(ISERROR(SEARCH("НЕПРАВИЛЬНО",H396)))</formula>
    </cfRule>
  </conditionalFormatting>
  <conditionalFormatting sqref="H403">
    <cfRule type="cellIs" priority="17" dxfId="109" operator="greaterThan" stopIfTrue="1">
      <formula>0</formula>
    </cfRule>
  </conditionalFormatting>
  <conditionalFormatting sqref="H403">
    <cfRule type="containsText" priority="16" dxfId="109" operator="containsText" stopIfTrue="1" text="НЕПРАВИЛЬНО">
      <formula>NOT(ISERROR(SEARCH("НЕПРАВИЛЬНО",H403)))</formula>
    </cfRule>
  </conditionalFormatting>
  <conditionalFormatting sqref="H403">
    <cfRule type="cellIs" priority="15" dxfId="109" operator="greaterThan" stopIfTrue="1">
      <formula>0</formula>
    </cfRule>
  </conditionalFormatting>
  <conditionalFormatting sqref="H403">
    <cfRule type="containsText" priority="18" dxfId="109" operator="containsText" text="НЕПРАВИЛЬНО">
      <formula>NOT(ISERROR(SEARCH("НЕПРАВИЛЬНО",H403)))</formula>
    </cfRule>
  </conditionalFormatting>
  <conditionalFormatting sqref="H409">
    <cfRule type="containsText" priority="14" dxfId="113" operator="containsText" stopIfTrue="1" text="НЕПРАВИЛЬНО">
      <formula>NOT(ISERROR(SEARCH("НЕПРАВИЛЬНО",H409)))</formula>
    </cfRule>
  </conditionalFormatting>
  <conditionalFormatting sqref="H416">
    <cfRule type="containsText" priority="13" dxfId="109" operator="containsText" stopIfTrue="1" text="НЕПРАВИЛЬНО">
      <formula>NOT(ISERROR(SEARCH("НЕПРАВИЛЬНО",H416)))</formula>
    </cfRule>
  </conditionalFormatting>
  <conditionalFormatting sqref="H422">
    <cfRule type="containsText" priority="12" dxfId="113" operator="containsText" stopIfTrue="1" text="НЕПРАВИЛЬНО">
      <formula>NOT(ISERROR(SEARCH("НЕПРАВИЛЬНО",H422)))</formula>
    </cfRule>
  </conditionalFormatting>
  <conditionalFormatting sqref="A2">
    <cfRule type="cellIs" priority="8" dxfId="114" operator="equal" stopIfTrue="1">
      <formula>332</formula>
    </cfRule>
    <cfRule type="cellIs" priority="9" dxfId="115" operator="notEqual" stopIfTrue="1">
      <formula>"&lt;&gt;332"</formula>
    </cfRule>
  </conditionalFormatting>
  <conditionalFormatting sqref="C457:D458">
    <cfRule type="cellIs" priority="6" dxfId="109" operator="equal" stopIfTrue="1">
      <formula>0</formula>
    </cfRule>
    <cfRule type="cellIs" priority="7" dxfId="114" operator="equal" stopIfTrue="1">
      <formula>274</formula>
    </cfRule>
  </conditionalFormatting>
  <conditionalFormatting sqref="H444:H449">
    <cfRule type="containsText" priority="5" dxfId="111" operator="containsText" stopIfTrue="1" text="Неправильно">
      <formula>NOT(ISERROR(SEARCH("Неправильно",H444)))</formula>
    </cfRule>
  </conditionalFormatting>
  <conditionalFormatting sqref="H98">
    <cfRule type="containsText" priority="4" dxfId="111" operator="containsText" text="НЕПРАВИЛЬНО">
      <formula>NOT(ISERROR(SEARCH("НЕПРАВИЛЬНО",H98)))</formula>
    </cfRule>
  </conditionalFormatting>
  <conditionalFormatting sqref="H99">
    <cfRule type="containsText" priority="3" dxfId="111" operator="containsText" text="НЕПРАВИЛЬНО">
      <formula>NOT(ISERROR(SEARCH("НЕПРАВИЛЬНО",H99)))</formula>
    </cfRule>
  </conditionalFormatting>
  <conditionalFormatting sqref="H341">
    <cfRule type="containsText" priority="2" dxfId="111" operator="containsText" text="НЕПРАВИЛЬНО">
      <formula>NOT(ISERROR(SEARCH("НЕПРАВИЛЬНО",H341)))</formula>
    </cfRule>
  </conditionalFormatting>
  <conditionalFormatting sqref="H343">
    <cfRule type="containsText" priority="1" dxfId="111" operator="containsText" text="НЕПРАВИЛЬНО">
      <formula>NOT(ISERROR(SEARCH("НЕПРАВИЛЬНО",H343)))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E396:E402 E322:E324 E320 E311:E313 E309 E241:E243 E247:E248 E251:E253 E228:E239 E11:E14 E27:E29 E50:E62 E78:E80 E82:E84 E74:E76 E86:E89 E64:E72 E35:E47 E31:E33 E102:E105 E100 E113:E130 E16:E23 E218:E221 E223:E226 E170:E186 E132:E148 E107:E110 E189:E202 E204:E216 E151:E168 E329 E326:E327 E259 E255:E256 E300:E302 E277 E272 E265:E268 E298 E416:E420 E370:E375 E378:E387 E389:E394 E408:E414 E422:E426 E366 E438:E441">
      <formula1>0</formula1>
    </dataValidation>
  </dataValidations>
  <printOptions horizontalCentered="1"/>
  <pageMargins left="0.3937007874015748" right="0.1968503937007874" top="0.1968503937007874" bottom="0.1968503937007874" header="0" footer="0"/>
  <pageSetup horizontalDpi="600" verticalDpi="600" orientation="portrait" paperSize="9" scale="77" r:id="rId3"/>
  <rowBreaks count="5" manualBreakCount="5">
    <brk id="68" max="4" man="1"/>
    <brk id="138" max="4" man="1"/>
    <brk id="208" max="4" man="1"/>
    <brk id="277" max="4" man="1"/>
    <brk id="346" max="4" man="1"/>
  </rowBreaks>
  <ignoredErrors>
    <ignoredError sqref="A90:A93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2021-10-26T12:24:09Z</cp:lastPrinted>
  <dcterms:created xsi:type="dcterms:W3CDTF">2012-11-15T07:58:45Z</dcterms:created>
  <dcterms:modified xsi:type="dcterms:W3CDTF">2021-10-28T06:51:00Z</dcterms:modified>
  <cp:category/>
  <cp:version/>
  <cp:contentType/>
  <cp:contentStatus/>
</cp:coreProperties>
</file>